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0" yWindow="75" windowWidth="12120" windowHeight="7380" tabRatio="714"/>
  </bookViews>
  <sheets>
    <sheet name="Jun 4" sheetId="53" r:id="rId1"/>
    <sheet name="May 11" sheetId="54" r:id="rId2"/>
    <sheet name="April 15" sheetId="49" r:id="rId3"/>
    <sheet name="March 20 2015" sheetId="50" r:id="rId4"/>
    <sheet name="Feb 16 2015" sheetId="47" r:id="rId5"/>
    <sheet name="Jan 26 2015" sheetId="48" r:id="rId6"/>
    <sheet name="Jan 9 2015" sheetId="43" r:id="rId7"/>
    <sheet name="Dec 10 2014" sheetId="46" r:id="rId8"/>
    <sheet name="Nov 17 2014" sheetId="45" r:id="rId9"/>
    <sheet name="Oct 15, 2014" sheetId="44" r:id="rId10"/>
    <sheet name="Oct 1 2014" sheetId="39" r:id="rId11"/>
    <sheet name="Obsoleted" sheetId="51" r:id="rId12"/>
    <sheet name="Superceded" sheetId="52" r:id="rId13"/>
  </sheets>
  <externalReferences>
    <externalReference r:id="rId14"/>
  </externalReferences>
  <definedNames>
    <definedName name="_xlnm._FilterDatabase" localSheetId="2" hidden="1">'April 15'!$A$5:$BT$8</definedName>
    <definedName name="_xlnm._FilterDatabase" localSheetId="7" hidden="1">'Dec 10 2014'!$B$5:$BS$6</definedName>
    <definedName name="_xlnm._FilterDatabase" localSheetId="4" hidden="1">'Feb 16 2015'!$C$5:$BT$5</definedName>
    <definedName name="_xlnm._FilterDatabase" localSheetId="5" hidden="1">'Jan 26 2015'!$B$5:$BS$6</definedName>
    <definedName name="_xlnm._FilterDatabase" localSheetId="6" hidden="1">'Jan 9 2015'!$B$5:$BS$6</definedName>
    <definedName name="_xlnm._FilterDatabase" localSheetId="0" hidden="1">'Jun 4'!$A$5:$BT$12</definedName>
    <definedName name="_xlnm._FilterDatabase" localSheetId="3" hidden="1">'March 20 2015'!$A$5:$BT$19</definedName>
    <definedName name="_xlnm._FilterDatabase" localSheetId="1" hidden="1">'May 11'!$A$5:$BT$11</definedName>
    <definedName name="_xlnm._FilterDatabase" localSheetId="8" hidden="1">'Nov 17 2014'!$B$5:$BS$6</definedName>
    <definedName name="_xlnm._FilterDatabase" localSheetId="11" hidden="1">Obsoleted!$A$2:$B$573</definedName>
    <definedName name="_xlnm._FilterDatabase" localSheetId="10" hidden="1">'Oct 1 2014'!$B$5:$BS$6</definedName>
    <definedName name="_xlnm._FilterDatabase" localSheetId="9" hidden="1">'Oct 15, 2014'!$B$5:$BS$6</definedName>
    <definedName name="_xlnm.Print_Area" localSheetId="2">'April 15'!$B$3:$F$8</definedName>
    <definedName name="_xlnm.Print_Area" localSheetId="7">'Dec 10 2014'!$B$4:$E$6</definedName>
    <definedName name="_xlnm.Print_Area" localSheetId="4">'Feb 16 2015'!$C$4:$F$5</definedName>
    <definedName name="_xlnm.Print_Area" localSheetId="5">'Jan 26 2015'!$B$4:$E$6</definedName>
    <definedName name="_xlnm.Print_Area" localSheetId="6">'Jan 9 2015'!$B$4:$E$6</definedName>
    <definedName name="_xlnm.Print_Area" localSheetId="0">'Jun 4'!$B$3:$F$12</definedName>
    <definedName name="_xlnm.Print_Area" localSheetId="3">'March 20 2015'!$B$3:$F$17</definedName>
    <definedName name="_xlnm.Print_Area" localSheetId="1">'May 11'!$B$3:$F$11</definedName>
    <definedName name="_xlnm.Print_Area" localSheetId="8">'Nov 17 2014'!$B$4:$E$6</definedName>
    <definedName name="_xlnm.Print_Area" localSheetId="10">'Oct 1 2014'!$B$4:$E$6</definedName>
    <definedName name="_xlnm.Print_Area" localSheetId="9">'Oct 15, 2014'!$B$4:$E$6</definedName>
    <definedName name="_xlnm.Print_Titles" localSheetId="2">'April 15'!$1:$5</definedName>
    <definedName name="_xlnm.Print_Titles" localSheetId="7">'Dec 10 2014'!$1:$5</definedName>
    <definedName name="_xlnm.Print_Titles" localSheetId="4">'Feb 16 2015'!$1:$5</definedName>
    <definedName name="_xlnm.Print_Titles" localSheetId="5">'Jan 26 2015'!$1:$5</definedName>
    <definedName name="_xlnm.Print_Titles" localSheetId="6">'Jan 9 2015'!$1:$5</definedName>
    <definedName name="_xlnm.Print_Titles" localSheetId="0">'Jun 4'!$1:$5</definedName>
    <definedName name="_xlnm.Print_Titles" localSheetId="3">'March 20 2015'!$1:$5</definedName>
    <definedName name="_xlnm.Print_Titles" localSheetId="1">'May 11'!$1:$5</definedName>
    <definedName name="_xlnm.Print_Titles" localSheetId="8">'Nov 17 2014'!$1:$5</definedName>
    <definedName name="_xlnm.Print_Titles" localSheetId="10">'Oct 1 2014'!$1:$5</definedName>
    <definedName name="_xlnm.Print_Titles" localSheetId="9">'Oct 15, 2014'!$1:$5</definedName>
  </definedNames>
  <calcPr calcId="145621"/>
</workbook>
</file>

<file path=xl/calcChain.xml><?xml version="1.0" encoding="utf-8"?>
<calcChain xmlns="http://schemas.openxmlformats.org/spreadsheetml/2006/main">
  <c r="AQ7" i="53" l="1"/>
  <c r="AQ8" i="53"/>
  <c r="AQ9" i="53"/>
  <c r="AQ10" i="53"/>
  <c r="AQ11" i="53"/>
  <c r="AQ12" i="53"/>
  <c r="AQ6" i="53"/>
  <c r="BO9" i="54" l="1"/>
  <c r="BN9" i="54"/>
  <c r="BI9" i="54"/>
  <c r="BG9" i="54"/>
  <c r="BH9" i="54" s="1"/>
  <c r="BF9" i="54"/>
  <c r="BE9" i="54"/>
  <c r="AQ9" i="54"/>
  <c r="BN8" i="54"/>
  <c r="BG8" i="54"/>
  <c r="BH8" i="54" s="1"/>
  <c r="BF8" i="54"/>
  <c r="BE8" i="54"/>
  <c r="BD8" i="54"/>
  <c r="BI8" i="54" s="1"/>
  <c r="BO8" i="54" s="1"/>
  <c r="BC8" i="54"/>
  <c r="BB8" i="54"/>
  <c r="BA8" i="54"/>
  <c r="AZ8" i="54"/>
  <c r="AQ8" i="54"/>
  <c r="BN7" i="54"/>
  <c r="BH7" i="54"/>
  <c r="BG7" i="54"/>
  <c r="BF7" i="54"/>
  <c r="BE7" i="54"/>
  <c r="BD7" i="54"/>
  <c r="BI7" i="54" s="1"/>
  <c r="BO7" i="54" s="1"/>
  <c r="BB7" i="54"/>
  <c r="BC7" i="54" s="1"/>
  <c r="BA7" i="54"/>
  <c r="AZ7" i="54"/>
  <c r="AQ7" i="54"/>
  <c r="BN6" i="54"/>
  <c r="BI6" i="54"/>
  <c r="BO6" i="54" s="1"/>
  <c r="BG6" i="54"/>
  <c r="BH6" i="54" s="1"/>
  <c r="BF6" i="54"/>
  <c r="BE6" i="54"/>
  <c r="BD6" i="54"/>
  <c r="BB6" i="54"/>
  <c r="BC6" i="54" s="1"/>
  <c r="BA6" i="54"/>
  <c r="AZ6" i="54"/>
  <c r="AQ6" i="54"/>
  <c r="BN12" i="53" l="1"/>
  <c r="BG12" i="53"/>
  <c r="BF12" i="53"/>
  <c r="BE12" i="53"/>
  <c r="BD12" i="53"/>
  <c r="BI12" i="53" s="1"/>
  <c r="BO12" i="53" s="1"/>
  <c r="BB12" i="53"/>
  <c r="BA12" i="53"/>
  <c r="AZ12" i="53"/>
  <c r="BN11" i="53"/>
  <c r="BG11" i="53"/>
  <c r="BF11" i="53"/>
  <c r="BE11" i="53"/>
  <c r="BD11" i="53"/>
  <c r="BI11" i="53" s="1"/>
  <c r="BO11" i="53" s="1"/>
  <c r="BB11" i="53"/>
  <c r="BA11" i="53"/>
  <c r="AZ11" i="53"/>
  <c r="BN10" i="53"/>
  <c r="BG10" i="53"/>
  <c r="BF10" i="53"/>
  <c r="BE10" i="53"/>
  <c r="BD10" i="53"/>
  <c r="BI10" i="53" s="1"/>
  <c r="BO10" i="53" s="1"/>
  <c r="BB10" i="53"/>
  <c r="BA10" i="53"/>
  <c r="AZ10" i="53"/>
  <c r="BN9" i="53"/>
  <c r="BG9" i="53"/>
  <c r="BF9" i="53"/>
  <c r="BE9" i="53"/>
  <c r="BD9" i="53"/>
  <c r="BI9" i="53" s="1"/>
  <c r="BO9" i="53" s="1"/>
  <c r="BB9" i="53"/>
  <c r="BA9" i="53"/>
  <c r="AZ9" i="53"/>
  <c r="BN8" i="53"/>
  <c r="BG8" i="53"/>
  <c r="BF8" i="53"/>
  <c r="BE8" i="53"/>
  <c r="BD8" i="53"/>
  <c r="BI8" i="53" s="1"/>
  <c r="BO8" i="53" s="1"/>
  <c r="BB8" i="53"/>
  <c r="BA8" i="53"/>
  <c r="AZ8" i="53"/>
  <c r="BN7" i="53"/>
  <c r="BG7" i="53"/>
  <c r="BF7" i="53"/>
  <c r="BE7" i="53"/>
  <c r="BD7" i="53"/>
  <c r="BI7" i="53" s="1"/>
  <c r="BO7" i="53" s="1"/>
  <c r="BB7" i="53"/>
  <c r="BA7" i="53"/>
  <c r="AZ7" i="53"/>
  <c r="BN6" i="53"/>
  <c r="BG6" i="53"/>
  <c r="BF6" i="53"/>
  <c r="BE6" i="53"/>
  <c r="BD6" i="53"/>
  <c r="BI6" i="53" s="1"/>
  <c r="BO6" i="53" s="1"/>
  <c r="BB6" i="53"/>
  <c r="BA6" i="53"/>
  <c r="AZ6" i="53"/>
  <c r="BH6" i="53" l="1"/>
  <c r="BH7" i="53"/>
  <c r="BH11" i="53"/>
  <c r="BH8" i="53"/>
  <c r="BH10" i="53"/>
  <c r="BC7" i="53"/>
  <c r="BC12" i="53"/>
  <c r="BH9" i="53"/>
  <c r="BC6" i="53"/>
  <c r="BC9" i="53"/>
  <c r="BC8" i="53"/>
  <c r="BC10" i="53"/>
  <c r="BH12" i="53"/>
  <c r="BC11" i="53"/>
  <c r="AQ8" i="49"/>
  <c r="AQ7" i="49"/>
  <c r="AQ6" i="49"/>
  <c r="BN8" i="49" l="1"/>
  <c r="BI8" i="49"/>
  <c r="BO8" i="49" s="1"/>
  <c r="BG8" i="49"/>
  <c r="BH8" i="49" s="1"/>
  <c r="BF8" i="49"/>
  <c r="BE8" i="49"/>
  <c r="BN7" i="49"/>
  <c r="BG7" i="49"/>
  <c r="BF7" i="49"/>
  <c r="BE7" i="49"/>
  <c r="BD7" i="49"/>
  <c r="BI7" i="49" s="1"/>
  <c r="BO7" i="49" s="1"/>
  <c r="BB7" i="49"/>
  <c r="BA7" i="49"/>
  <c r="AZ7" i="49"/>
  <c r="BN6" i="49"/>
  <c r="BG6" i="49"/>
  <c r="BF6" i="49"/>
  <c r="BE6" i="49"/>
  <c r="BD6" i="49"/>
  <c r="BI6" i="49" s="1"/>
  <c r="BO6" i="49" s="1"/>
  <c r="BB6" i="49"/>
  <c r="BA6" i="49"/>
  <c r="AZ6" i="49"/>
  <c r="BC6" i="49" l="1"/>
  <c r="BH6" i="49"/>
  <c r="BC7" i="49"/>
  <c r="BH7" i="49"/>
  <c r="BN19" i="50" l="1"/>
  <c r="BI19" i="50"/>
  <c r="BO19" i="50" s="1"/>
  <c r="BG19" i="50"/>
  <c r="BH19" i="50" s="1"/>
  <c r="BF19" i="50"/>
  <c r="BE19" i="50"/>
  <c r="BD19" i="50"/>
  <c r="BB19" i="50"/>
  <c r="BC19" i="50" s="1"/>
  <c r="BA19" i="50"/>
  <c r="AZ19" i="50"/>
  <c r="AQ19" i="50"/>
  <c r="BN18" i="50"/>
  <c r="BG18" i="50"/>
  <c r="BH18" i="50" s="1"/>
  <c r="BF18" i="50"/>
  <c r="BE18" i="50"/>
  <c r="BD18" i="50"/>
  <c r="BI18" i="50" s="1"/>
  <c r="BO18" i="50" s="1"/>
  <c r="BB18" i="50"/>
  <c r="BC18" i="50" s="1"/>
  <c r="BA18" i="50"/>
  <c r="AZ18" i="50"/>
  <c r="AQ18" i="50"/>
  <c r="BO17" i="50"/>
  <c r="BN17" i="50"/>
  <c r="BI17" i="50"/>
  <c r="BG17" i="50"/>
  <c r="BH17" i="50" s="1"/>
  <c r="BF17" i="50"/>
  <c r="BE17" i="50"/>
  <c r="AQ17" i="50"/>
  <c r="BO16" i="50"/>
  <c r="BN16" i="50"/>
  <c r="BH16" i="50"/>
  <c r="AQ16" i="50"/>
  <c r="BO15" i="50"/>
  <c r="BN15" i="50"/>
  <c r="BH15" i="50"/>
  <c r="AQ15" i="50"/>
  <c r="BO14" i="50"/>
  <c r="BN14" i="50"/>
  <c r="BH14" i="50"/>
  <c r="AQ14" i="50"/>
  <c r="BO13" i="50"/>
  <c r="BN13" i="50"/>
  <c r="BH13" i="50"/>
  <c r="AQ13" i="50"/>
  <c r="BN12" i="50"/>
  <c r="BG12" i="50"/>
  <c r="BH12" i="50" s="1"/>
  <c r="BF12" i="50"/>
  <c r="BE12" i="50"/>
  <c r="BD12" i="50"/>
  <c r="BI12" i="50" s="1"/>
  <c r="BO12" i="50" s="1"/>
  <c r="BC12" i="50"/>
  <c r="BB12" i="50"/>
  <c r="BA12" i="50"/>
  <c r="AZ12" i="50"/>
  <c r="AQ12" i="50"/>
  <c r="AB12" i="50"/>
  <c r="BN11" i="50"/>
  <c r="BI11" i="50"/>
  <c r="BO11" i="50" s="1"/>
  <c r="BG11" i="50"/>
  <c r="BH11" i="50" s="1"/>
  <c r="BF11" i="50"/>
  <c r="BE11" i="50"/>
  <c r="BD11" i="50"/>
  <c r="BB11" i="50"/>
  <c r="BC11" i="50" s="1"/>
  <c r="BA11" i="50"/>
  <c r="AZ11" i="50"/>
  <c r="AQ11" i="50"/>
  <c r="AB11" i="50"/>
  <c r="BN10" i="50"/>
  <c r="BG10" i="50"/>
  <c r="BH10" i="50" s="1"/>
  <c r="BF10" i="50"/>
  <c r="BE10" i="50"/>
  <c r="BD10" i="50"/>
  <c r="BI10" i="50" s="1"/>
  <c r="BO10" i="50" s="1"/>
  <c r="BC10" i="50"/>
  <c r="BB10" i="50"/>
  <c r="BA10" i="50"/>
  <c r="AZ10" i="50"/>
  <c r="AQ10" i="50"/>
  <c r="BN9" i="50"/>
  <c r="BH9" i="50"/>
  <c r="BG9" i="50"/>
  <c r="BF9" i="50"/>
  <c r="BE9" i="50"/>
  <c r="BD9" i="50"/>
  <c r="BI9" i="50" s="1"/>
  <c r="BO9" i="50" s="1"/>
  <c r="BB9" i="50"/>
  <c r="BC9" i="50" s="1"/>
  <c r="BA9" i="50"/>
  <c r="AZ9" i="50"/>
  <c r="AQ9" i="50"/>
  <c r="AB9" i="50"/>
  <c r="BN8" i="50"/>
  <c r="BG8" i="50"/>
  <c r="BH8" i="50" s="1"/>
  <c r="BF8" i="50"/>
  <c r="BE8" i="50"/>
  <c r="BD8" i="50"/>
  <c r="BI8" i="50" s="1"/>
  <c r="BO8" i="50" s="1"/>
  <c r="BB8" i="50"/>
  <c r="BC8" i="50" s="1"/>
  <c r="BA8" i="50"/>
  <c r="AZ8" i="50"/>
  <c r="AQ8" i="50"/>
  <c r="AB8" i="50"/>
  <c r="BN7" i="50"/>
  <c r="BH7" i="50"/>
  <c r="BG7" i="50"/>
  <c r="BF7" i="50"/>
  <c r="BE7" i="50"/>
  <c r="BD7" i="50"/>
  <c r="BI7" i="50" s="1"/>
  <c r="BO7" i="50" s="1"/>
  <c r="BB7" i="50"/>
  <c r="BC7" i="50" s="1"/>
  <c r="BA7" i="50"/>
  <c r="AZ7" i="50"/>
  <c r="AQ7" i="50"/>
  <c r="AB7" i="50"/>
  <c r="BN6" i="50"/>
  <c r="BG6" i="50"/>
  <c r="BH6" i="50" s="1"/>
  <c r="BF6" i="50"/>
  <c r="BE6" i="50"/>
  <c r="BD6" i="50"/>
  <c r="BI6" i="50" s="1"/>
  <c r="BO6" i="50" s="1"/>
  <c r="BB6" i="50"/>
  <c r="BC6" i="50" s="1"/>
  <c r="BA6" i="50"/>
  <c r="AZ6" i="50"/>
  <c r="AQ6" i="50"/>
  <c r="AB6" i="50"/>
  <c r="BD8" i="47" l="1"/>
  <c r="BI8" i="47"/>
  <c r="BO8" i="47" s="1"/>
  <c r="BN8" i="47"/>
  <c r="BG8" i="47"/>
  <c r="BF8" i="47"/>
  <c r="BE8" i="47"/>
  <c r="BH8" i="47"/>
  <c r="BB8" i="47"/>
  <c r="BA8" i="47"/>
  <c r="AZ8" i="47"/>
  <c r="BC8" i="47"/>
  <c r="AQ8" i="47"/>
  <c r="BM10" i="48"/>
  <c r="BF10" i="48"/>
  <c r="BG10" i="48" s="1"/>
  <c r="BE10" i="48"/>
  <c r="BD10" i="48"/>
  <c r="BC10" i="48"/>
  <c r="BH10" i="48"/>
  <c r="BN10" i="48" s="1"/>
  <c r="BA10" i="48"/>
  <c r="BB10" i="48" s="1"/>
  <c r="AZ10" i="48"/>
  <c r="AY10" i="48"/>
  <c r="AP10" i="48"/>
  <c r="BM9" i="48"/>
  <c r="BH9" i="48"/>
  <c r="BN9" i="48" s="1"/>
  <c r="BF9" i="48"/>
  <c r="BG9" i="48" s="1"/>
  <c r="BE9" i="48"/>
  <c r="BD9" i="48"/>
  <c r="BC9" i="48"/>
  <c r="BA9" i="48"/>
  <c r="AZ9" i="48"/>
  <c r="BB9" i="48" s="1"/>
  <c r="AY9" i="48"/>
  <c r="AP9" i="48"/>
  <c r="BM8" i="48"/>
  <c r="BH8" i="48"/>
  <c r="BN8" i="48"/>
  <c r="BF8" i="48"/>
  <c r="BE8" i="48"/>
  <c r="BG8" i="48" s="1"/>
  <c r="BD8" i="48"/>
  <c r="AP8" i="48"/>
  <c r="BM7" i="48"/>
  <c r="BH7" i="48"/>
  <c r="BN7" i="48"/>
  <c r="BF7" i="48"/>
  <c r="BE7" i="48"/>
  <c r="BG7" i="48" s="1"/>
  <c r="BD7" i="48"/>
  <c r="BC7" i="48"/>
  <c r="BB7" i="48"/>
  <c r="AP7" i="48"/>
  <c r="BM6" i="48"/>
  <c r="BF6" i="48"/>
  <c r="BG6" i="48" s="1"/>
  <c r="BE6" i="48"/>
  <c r="BD6" i="48"/>
  <c r="BC6" i="48"/>
  <c r="BH6" i="48"/>
  <c r="BN6" i="48" s="1"/>
  <c r="BA6" i="48"/>
  <c r="BB6" i="48" s="1"/>
  <c r="AZ6" i="48"/>
  <c r="AY6" i="48"/>
  <c r="AP6" i="48"/>
  <c r="AQ9" i="47"/>
  <c r="AQ7" i="47"/>
  <c r="AQ6" i="47"/>
  <c r="BN9" i="47"/>
  <c r="BG9" i="47"/>
  <c r="BF9" i="47"/>
  <c r="BH9" i="47" s="1"/>
  <c r="BE9" i="47"/>
  <c r="BD9" i="47"/>
  <c r="BI9" i="47"/>
  <c r="BO9" i="47" s="1"/>
  <c r="BB9" i="47"/>
  <c r="BA9" i="47"/>
  <c r="AZ9" i="47"/>
  <c r="BN7" i="47"/>
  <c r="BG7" i="47"/>
  <c r="BH7" i="47" s="1"/>
  <c r="BF7" i="47"/>
  <c r="BE7" i="47"/>
  <c r="BD7" i="47"/>
  <c r="BI7" i="47" s="1"/>
  <c r="BO7" i="47" s="1"/>
  <c r="BC7" i="47"/>
  <c r="BE6" i="47"/>
  <c r="BF6" i="47"/>
  <c r="BG6" i="47"/>
  <c r="BH6" i="47" s="1"/>
  <c r="BI6" i="47"/>
  <c r="BO6" i="47"/>
  <c r="BN6" i="47"/>
  <c r="BC9" i="47"/>
  <c r="BM6" i="46"/>
  <c r="BF6" i="46"/>
  <c r="BE6" i="46"/>
  <c r="BD6" i="46"/>
  <c r="BG6" i="46"/>
  <c r="BC6" i="46"/>
  <c r="BH6" i="46" s="1"/>
  <c r="BN6" i="46" s="1"/>
  <c r="AP6" i="46"/>
  <c r="AP7" i="43"/>
  <c r="AP8" i="43"/>
  <c r="AP9" i="43"/>
  <c r="AP10" i="43"/>
  <c r="AP11" i="43"/>
  <c r="AP12" i="43"/>
  <c r="AP13" i="43"/>
  <c r="BM13" i="43"/>
  <c r="BF13" i="43"/>
  <c r="BG13" i="43" s="1"/>
  <c r="BE13" i="43"/>
  <c r="BD13" i="43"/>
  <c r="BC13" i="43"/>
  <c r="BH13" i="43"/>
  <c r="BN13" i="43" s="1"/>
  <c r="BA13" i="43"/>
  <c r="BB13" i="43" s="1"/>
  <c r="AZ13" i="43"/>
  <c r="AY13" i="43"/>
  <c r="BM12" i="43"/>
  <c r="BH12" i="43"/>
  <c r="BN12" i="43"/>
  <c r="BF12" i="43"/>
  <c r="BE12" i="43"/>
  <c r="BD12" i="43"/>
  <c r="BG12" i="43"/>
  <c r="BN11" i="43"/>
  <c r="BM11" i="43"/>
  <c r="BH11" i="43"/>
  <c r="BG11" i="43"/>
  <c r="BF11" i="43"/>
  <c r="BE11" i="43"/>
  <c r="BD11" i="43"/>
  <c r="BN10" i="43"/>
  <c r="BM10" i="43"/>
  <c r="BH10" i="43"/>
  <c r="BF10" i="43"/>
  <c r="BG10" i="43"/>
  <c r="BE10" i="43"/>
  <c r="BD10" i="43"/>
  <c r="BM9" i="43"/>
  <c r="BH9" i="43"/>
  <c r="BN9" i="43" s="1"/>
  <c r="BF9" i="43"/>
  <c r="BE9" i="43"/>
  <c r="BG9" i="43"/>
  <c r="BD9" i="43"/>
  <c r="BM8" i="43"/>
  <c r="BH8" i="43"/>
  <c r="BN8" i="43"/>
  <c r="BF8" i="43"/>
  <c r="BE8" i="43"/>
  <c r="BD8" i="43"/>
  <c r="BG8" i="43"/>
  <c r="BN7" i="43"/>
  <c r="BM7" i="43"/>
  <c r="BH7" i="43"/>
  <c r="BG7" i="43"/>
  <c r="BF7" i="43"/>
  <c r="BE7" i="43"/>
  <c r="BD7" i="43"/>
  <c r="BN6" i="43"/>
  <c r="BM6" i="43"/>
  <c r="BH6" i="43"/>
  <c r="BF6" i="43"/>
  <c r="BG6" i="43"/>
  <c r="BE6" i="43"/>
  <c r="BD6" i="43"/>
  <c r="A7" i="43"/>
  <c r="A8" i="43" s="1"/>
  <c r="A9" i="43" s="1"/>
  <c r="A10" i="43" s="1"/>
  <c r="A11" i="43" s="1"/>
  <c r="A12" i="43" s="1"/>
  <c r="A13" i="43" s="1"/>
  <c r="AP6" i="43"/>
  <c r="BM6" i="45"/>
  <c r="BG6" i="45"/>
  <c r="BF6" i="45"/>
  <c r="BE6" i="45"/>
  <c r="BD6" i="45"/>
  <c r="BC6" i="45"/>
  <c r="BH6" i="45" s="1"/>
  <c r="BN6" i="45" s="1"/>
  <c r="BA6" i="45"/>
  <c r="AZ6" i="45"/>
  <c r="BB6" i="45" s="1"/>
  <c r="AY6" i="45"/>
  <c r="AP6" i="45"/>
  <c r="BM6" i="44"/>
  <c r="BF6" i="44"/>
  <c r="BG6" i="44" s="1"/>
  <c r="BE6" i="44"/>
  <c r="BD6" i="44"/>
  <c r="BC6" i="44"/>
  <c r="BH6" i="44"/>
  <c r="BN6" i="44" s="1"/>
  <c r="BA6" i="44"/>
  <c r="BB6" i="44" s="1"/>
  <c r="AZ6" i="44"/>
  <c r="AY6" i="44"/>
  <c r="AP6" i="44"/>
  <c r="AP7" i="39"/>
  <c r="AY7" i="39"/>
  <c r="AZ7" i="39"/>
  <c r="BA7" i="39"/>
  <c r="BB7" i="39" s="1"/>
  <c r="BC7" i="39"/>
  <c r="BH7" i="39" s="1"/>
  <c r="BN7" i="39" s="1"/>
  <c r="BD7" i="39"/>
  <c r="BE7" i="39"/>
  <c r="BF7" i="39"/>
  <c r="BG7" i="39" s="1"/>
  <c r="BM7" i="39"/>
  <c r="AP6" i="39"/>
  <c r="BM6" i="39"/>
  <c r="BF6" i="39"/>
  <c r="BG6" i="39" s="1"/>
  <c r="BE6" i="39"/>
  <c r="BD6" i="39"/>
  <c r="BC6" i="39"/>
  <c r="BH6" i="39"/>
  <c r="BN6" i="39" s="1"/>
  <c r="BA6" i="39"/>
  <c r="AZ6" i="39"/>
  <c r="AY6" i="39"/>
  <c r="BB6" i="39" s="1"/>
</calcChain>
</file>

<file path=xl/sharedStrings.xml><?xml version="1.0" encoding="utf-8"?>
<sst xmlns="http://schemas.openxmlformats.org/spreadsheetml/2006/main" count="3537" uniqueCount="1096">
  <si>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</si>
  <si>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</si>
  <si>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</si>
  <si>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</si>
  <si>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</si>
  <si>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</si>
  <si>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</si>
  <si>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</si>
  <si>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</si>
  <si>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</si>
  <si>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</si>
  <si>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</si>
  <si>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</si>
  <si>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</si>
  <si>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</si>
  <si>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</si>
  <si>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</si>
  <si>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</si>
  <si>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</si>
  <si>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</si>
  <si>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</si>
  <si>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</si>
  <si>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</si>
  <si>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</si>
  <si>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</si>
  <si>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</si>
  <si>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</si>
  <si>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</si>
  <si>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</si>
  <si>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</si>
  <si>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</si>
  <si>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</si>
  <si>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</si>
  <si>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</si>
  <si>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</si>
  <si>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</si>
  <si>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</si>
  <si>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</si>
  <si>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</si>
  <si>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</si>
  <si>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</si>
  <si>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</si>
  <si>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</si>
  <si>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</si>
  <si>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</si>
  <si>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</si>
  <si>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</si>
  <si>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</si>
  <si>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</si>
  <si>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</si>
  <si>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</si>
  <si>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</si>
  <si>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</si>
  <si>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</si>
  <si>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</si>
  <si>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</si>
  <si>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</si>
  <si>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</si>
  <si>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</si>
  <si>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</si>
  <si>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</si>
  <si>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</si>
  <si>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</si>
  <si>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</si>
  <si>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</si>
  <si>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</si>
  <si>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</si>
  <si>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</si>
  <si>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</si>
  <si>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</si>
  <si>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</si>
  <si>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</si>
  <si>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</si>
  <si>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</si>
  <si>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2014 DISTRIBUTOR PRICE CORRECTION</t>
  </si>
  <si>
    <t>Price Change Effective Date</t>
  </si>
  <si>
    <t>Revised Price</t>
  </si>
  <si>
    <t>Status</t>
  </si>
  <si>
    <t>Revision</t>
  </si>
  <si>
    <t>PART NUMBER UPDATES</t>
  </si>
  <si>
    <t>OE Ref Mfg #7</t>
  </si>
  <si>
    <t>2014 NEW PRODUCT INTRODUCTION</t>
  </si>
  <si>
    <t>Fuel Filter</t>
  </si>
  <si>
    <t>PV or HD</t>
  </si>
  <si>
    <t>1 Unit Box = 1 Carton</t>
  </si>
  <si>
    <t>Price  Information</t>
  </si>
  <si>
    <t>STP</t>
  </si>
  <si>
    <t>Jobber Price Was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</si>
  <si>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</si>
  <si>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</si>
  <si>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</si>
  <si>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</si>
  <si>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</si>
  <si>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</si>
  <si>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</si>
  <si>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</si>
  <si>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</si>
  <si>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</si>
  <si>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</si>
  <si>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</si>
  <si>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</si>
  <si>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</si>
  <si>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</si>
  <si>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</si>
  <si>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</si>
  <si>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</si>
  <si>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Volvo L60E, L70E, L90E, L110E,  L120E Wheel Loaders (Cab air)</t>
  </si>
  <si>
    <t>Komatsu Equipment</t>
  </si>
  <si>
    <t>038568737618</t>
  </si>
  <si>
    <t>038568737854</t>
  </si>
  <si>
    <t>LAF2947</t>
  </si>
  <si>
    <t>LFF9897</t>
  </si>
  <si>
    <t xml:space="preserve"> Liebherr excavators and John Deere 950J and 1050J dozers</t>
  </si>
  <si>
    <t>038568738509</t>
  </si>
  <si>
    <t>10044303</t>
  </si>
  <si>
    <t>Liebherr</t>
  </si>
  <si>
    <t>FS19897</t>
  </si>
  <si>
    <t>P11057</t>
  </si>
  <si>
    <t>WK1150</t>
  </si>
  <si>
    <t>R90DSRAC01</t>
  </si>
  <si>
    <t>Yanmar</t>
  </si>
  <si>
    <t>LFH8484</t>
  </si>
  <si>
    <t>4209440</t>
  </si>
  <si>
    <t>Dana</t>
  </si>
  <si>
    <t>Kalmar</t>
  </si>
  <si>
    <t>Terex</t>
  </si>
  <si>
    <t>PPMTFC45H</t>
  </si>
  <si>
    <t>Kalmar; Terex, New Holland LM5040,  LM5060, LM5080 Telehandlers</t>
  </si>
  <si>
    <t>BT9400-MPG</t>
  </si>
  <si>
    <t>P765075</t>
  </si>
  <si>
    <t>HF35464</t>
  </si>
  <si>
    <t>57227</t>
  </si>
  <si>
    <t>038568737984</t>
  </si>
  <si>
    <t>Obsolete</t>
  </si>
  <si>
    <t>No Replacement</t>
  </si>
  <si>
    <t>LMB50</t>
  </si>
  <si>
    <t>LFH8297</t>
  </si>
  <si>
    <t xml:space="preserve">Mounting Base used w/PB50 B/P filter </t>
  </si>
  <si>
    <t>Hydraulic Filter (Sullair Compressors)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</si>
  <si>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</si>
  <si>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</si>
  <si>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</si>
  <si>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</si>
  <si>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</si>
  <si>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</si>
  <si>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 xml:space="preserve">Mercruiser 4 and 6 cyl outboard marine engines; 2006 and newer Verado 135-200 4 stroke engine. </t>
  </si>
  <si>
    <t>FP941F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</si>
  <si>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</si>
  <si>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</si>
  <si>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</si>
  <si>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</si>
  <si>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</si>
  <si>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</si>
  <si>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</si>
  <si>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</si>
  <si>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</si>
  <si>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</si>
  <si>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</si>
  <si>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</si>
  <si>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</si>
  <si>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</si>
  <si>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</si>
  <si>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</si>
  <si>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</si>
  <si>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</si>
  <si>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</si>
  <si>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</si>
  <si>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</si>
  <si>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</si>
  <si>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</si>
  <si>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</si>
  <si>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</si>
  <si>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</si>
  <si>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</si>
  <si>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</si>
  <si>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</si>
  <si>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</si>
  <si>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</si>
  <si>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</si>
  <si>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</si>
  <si>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</si>
  <si>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</si>
  <si>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</si>
  <si>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</si>
  <si>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2015 NEW PRODUCT INTRODUCTION</t>
  </si>
  <si>
    <t>RE522372</t>
  </si>
  <si>
    <t>RE509596</t>
  </si>
  <si>
    <t>AL119839</t>
  </si>
  <si>
    <t>John Deere Application: John Deere 6120, 6215, 6415 Tractors.</t>
  </si>
  <si>
    <t>John Deere Applications: John Deere 8000 series tractors and 9760,9660 combines"</t>
  </si>
  <si>
    <t>Freightliner M2 Series</t>
  </si>
  <si>
    <t>AL172781</t>
  </si>
  <si>
    <t xml:space="preserve">JOHN DEERE Applications: John Deere 7220 7320 7420 7530 tractors.  </t>
  </si>
  <si>
    <t>RE282286</t>
  </si>
  <si>
    <t xml:space="preserve">John Deere Applications: John Deere 318D 319D 320D and 5045/5055 tractors. </t>
  </si>
  <si>
    <t>4C4Z-9601-AA</t>
  </si>
  <si>
    <t>CA10868</t>
  </si>
  <si>
    <t>FA1753</t>
  </si>
  <si>
    <t>Ford F650 &amp; 750 Trucks  2004 -</t>
  </si>
  <si>
    <t>RE196945</t>
  </si>
  <si>
    <t>John Deere Applications: John Deere 7720,7820,7920,7630,7730,7830,7930 tractors"</t>
  </si>
  <si>
    <t>Hitachi</t>
  </si>
  <si>
    <t>4234793</t>
  </si>
  <si>
    <t>17M9113530</t>
  </si>
  <si>
    <t>Hitachi &amp; Komatsu Equipment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</si>
  <si>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</si>
  <si>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</si>
  <si>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</si>
  <si>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</si>
  <si>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</si>
  <si>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</si>
  <si>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</si>
  <si>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</si>
  <si>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</si>
  <si>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>2012- Freightliner 114SD  truck  FLAME RETARDANT VERSION OF LAF3233</t>
  </si>
  <si>
    <t>2015 DISTRIBUTOR PRICE CORRECTION</t>
  </si>
  <si>
    <t xml:space="preserve">PV  </t>
  </si>
  <si>
    <t>Mexico</t>
  </si>
  <si>
    <t>AF5209</t>
  </si>
  <si>
    <t>LAF1482</t>
  </si>
  <si>
    <t>CAF24024</t>
  </si>
  <si>
    <t>CABIN AIR</t>
  </si>
  <si>
    <t>GM</t>
  </si>
  <si>
    <t xml:space="preserve">Chevrolet Sonic (2012-2014) </t>
  </si>
  <si>
    <t>Paccar</t>
  </si>
  <si>
    <t>5S013817</t>
  </si>
  <si>
    <t>Paccar Applications: 2010- Peterbilt 386 388 365 TRUCKS</t>
  </si>
  <si>
    <t>Generac</t>
  </si>
  <si>
    <t>OC8127</t>
  </si>
  <si>
    <t>Generac Generator Sets w/GT990 eng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</si>
  <si>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</si>
  <si>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</si>
  <si>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</si>
  <si>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</si>
  <si>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</si>
  <si>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</si>
  <si>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</si>
  <si>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</si>
  <si>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</si>
  <si>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</si>
  <si>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</si>
  <si>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</si>
  <si>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</si>
  <si>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</si>
  <si>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Volvo Applications: Fits Volvo I Shift trans used on Volvo and Mack trucks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</si>
  <si>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</si>
  <si>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</si>
  <si>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</si>
  <si>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</si>
  <si>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</si>
  <si>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</si>
  <si>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</si>
  <si>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</si>
  <si>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</si>
  <si>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</si>
  <si>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</si>
  <si>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</si>
  <si>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</si>
  <si>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</si>
  <si>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</si>
  <si>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</si>
  <si>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</si>
  <si>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</si>
  <si>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</si>
  <si>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</si>
  <si>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</si>
  <si>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</si>
  <si>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</si>
  <si>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</si>
  <si>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</si>
  <si>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</si>
  <si>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</si>
  <si>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</si>
  <si>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</si>
  <si>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</si>
  <si>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</si>
  <si>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</si>
  <si>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</si>
  <si>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</si>
  <si>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</si>
  <si>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</si>
  <si>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</si>
  <si>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</si>
  <si>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LAF8837</t>
  </si>
  <si>
    <t>LFH3653-25</t>
  </si>
  <si>
    <t>HYDRAULIC</t>
  </si>
  <si>
    <t>Superseded - Replaced by</t>
  </si>
  <si>
    <t>LFH4209</t>
  </si>
  <si>
    <t>P989</t>
  </si>
  <si>
    <t>PV</t>
  </si>
  <si>
    <t>Cartridge Oil Filter</t>
  </si>
  <si>
    <t>PH2873</t>
  </si>
  <si>
    <t>Spin On Oil Filter</t>
  </si>
  <si>
    <t>Date</t>
  </si>
  <si>
    <t>Brand</t>
  </si>
  <si>
    <t>038568315991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</si>
  <si>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</si>
  <si>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</si>
  <si>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</si>
  <si>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</si>
  <si>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</si>
  <si>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</si>
  <si>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</si>
  <si>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</si>
  <si>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</si>
  <si>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</si>
  <si>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</si>
  <si>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</si>
  <si>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</si>
  <si>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</si>
  <si>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038568315984</t>
  </si>
  <si>
    <t>038568316059</t>
  </si>
  <si>
    <t>Cadillac CTS (2009-12)</t>
  </si>
  <si>
    <t>BMW X5 Diesel (2009-13)</t>
  </si>
  <si>
    <t>BMW</t>
  </si>
  <si>
    <t>Mercedes C250 (2012-14)</t>
  </si>
  <si>
    <t>Mercedes</t>
  </si>
  <si>
    <t>Hyundia Genesis Coupe (2013-14)</t>
  </si>
  <si>
    <t>Hyundia</t>
  </si>
  <si>
    <t>281132M200</t>
  </si>
  <si>
    <t>Kia Sportage 2.0L turbo (2011-14)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</si>
  <si>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</si>
  <si>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</si>
  <si>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</si>
  <si>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</si>
  <si>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</si>
  <si>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</si>
  <si>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</si>
  <si>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</si>
  <si>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</si>
  <si>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</si>
  <si>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</si>
  <si>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Mitsubishi QC000001; 2012-on Mitsubishi Fuso  Canter 3.0L 4P10 eng.</t>
  </si>
  <si>
    <t>AF1552</t>
  </si>
  <si>
    <t>A25899</t>
  </si>
  <si>
    <t>49342</t>
  </si>
  <si>
    <t>A28152</t>
  </si>
  <si>
    <t>49047</t>
  </si>
  <si>
    <t>QC000001</t>
  </si>
  <si>
    <t>Mitsubishi</t>
  </si>
  <si>
    <t xml:space="preserve">BMW 135i, 335i, 335i XDrive, X5 (2011-15) </t>
  </si>
  <si>
    <t>Kia Sportage 2.0L turbo (2011-15)</t>
  </si>
  <si>
    <t>4884899AB</t>
  </si>
  <si>
    <t>F1AZ-6731-BD</t>
  </si>
  <si>
    <t xml:space="preserve">Ford Products (1991-15), Mazda (2000-09),  Chrysler, Dodge V6 &amp; V8 (2008-14)  </t>
  </si>
  <si>
    <t>E1EE-6714-AA</t>
  </si>
  <si>
    <t>FL-400A</t>
  </si>
  <si>
    <t xml:space="preserve">Chrysler Products (2002-09), Ford Products  (1971-09), Jaguar X Type (2000-08), Mazda 6  (2009-13), CX9 (2007-14)  </t>
  </si>
  <si>
    <t>LH11014V</t>
  </si>
  <si>
    <t xml:space="preserve">Parker 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</si>
  <si>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</si>
  <si>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</si>
  <si>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</si>
  <si>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</si>
  <si>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</si>
  <si>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</si>
  <si>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</si>
  <si>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</si>
  <si>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</si>
  <si>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</si>
  <si>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</si>
  <si>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J.C.B 801.4, 801.5, 801.6  MP Filtri   Excavators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</si>
  <si>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</si>
  <si>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</si>
  <si>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</si>
  <si>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</si>
  <si>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</si>
  <si>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</si>
  <si>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</si>
  <si>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Internormen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</si>
  <si>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</si>
  <si>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</si>
  <si>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</si>
  <si>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</si>
  <si>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</si>
  <si>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</si>
  <si>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</si>
  <si>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</si>
  <si>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</si>
  <si>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</si>
  <si>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</si>
  <si>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</si>
  <si>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</si>
  <si>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</si>
  <si>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</si>
  <si>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 xml:space="preserve">038568742384 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</si>
  <si>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</si>
  <si>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</si>
  <si>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</si>
  <si>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</si>
  <si>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</si>
  <si>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</si>
  <si>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</si>
  <si>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</si>
  <si>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</si>
  <si>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</si>
  <si>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John Deere Applications; Volvo EC290B, EC160B Excavators</t>
  </si>
  <si>
    <t xml:space="preserve">2013-14 Ford Fusion </t>
  </si>
  <si>
    <t>BF7853</t>
  </si>
  <si>
    <t>P550659</t>
  </si>
  <si>
    <t>FS19700</t>
  </si>
  <si>
    <t>PS10967</t>
  </si>
  <si>
    <t>See Obsolete and Superceded Tabs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</si>
  <si>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</si>
  <si>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</si>
  <si>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</si>
  <si>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</si>
  <si>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</si>
  <si>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</si>
  <si>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</si>
  <si>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</si>
  <si>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</si>
  <si>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</si>
  <si>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</si>
  <si>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</si>
  <si>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</si>
  <si>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</si>
  <si>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</si>
  <si>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</si>
  <si>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</si>
  <si>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</si>
  <si>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</si>
  <si>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</si>
  <si>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</si>
  <si>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</si>
  <si>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</si>
  <si>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</si>
  <si>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</si>
  <si>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</si>
  <si>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</si>
  <si>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</si>
  <si>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</si>
  <si>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</si>
  <si>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</si>
  <si>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</si>
  <si>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</si>
  <si>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</si>
  <si>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</si>
  <si>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</si>
  <si>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</si>
  <si>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</si>
  <si>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</si>
  <si>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</si>
  <si>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</si>
  <si>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</si>
  <si>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</si>
  <si>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</si>
  <si>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</si>
  <si>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</si>
  <si>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</si>
  <si>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</si>
  <si>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</si>
  <si>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</si>
  <si>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</si>
  <si>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</si>
  <si>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</si>
  <si>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</si>
  <si>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</si>
  <si>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</si>
  <si>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</si>
  <si>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</si>
  <si>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</si>
  <si>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</si>
  <si>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</si>
  <si>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</si>
  <si>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</si>
  <si>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</si>
  <si>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</si>
  <si>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</si>
  <si>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</si>
  <si>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</si>
  <si>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</si>
  <si>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</si>
  <si>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</si>
  <si>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</si>
  <si>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</si>
  <si>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</si>
  <si>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</si>
  <si>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</si>
  <si>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</si>
  <si>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</si>
  <si>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</si>
  <si>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</si>
  <si>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</si>
  <si>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</si>
  <si>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</si>
  <si>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</si>
  <si>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</si>
  <si>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</si>
  <si>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</si>
  <si>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</si>
  <si>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</si>
  <si>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</si>
  <si>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</si>
  <si>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</si>
  <si>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</si>
  <si>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</si>
  <si>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</si>
  <si>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</si>
  <si>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</si>
  <si>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</si>
  <si>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</si>
  <si>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</si>
  <si>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</si>
  <si>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</si>
  <si>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</si>
  <si>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</si>
  <si>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</si>
  <si>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</si>
  <si>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</si>
  <si>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</si>
  <si>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</si>
  <si>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</si>
  <si>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</si>
  <si>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</si>
  <si>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</si>
  <si>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</si>
  <si>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</si>
  <si>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</si>
  <si>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</si>
  <si>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</si>
  <si>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</si>
  <si>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</si>
  <si>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</si>
  <si>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</si>
  <si>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</si>
  <si>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</si>
  <si>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</si>
  <si>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</si>
  <si>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</si>
  <si>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</si>
  <si>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</si>
  <si>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</si>
  <si>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</si>
  <si>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</si>
  <si>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</si>
  <si>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</si>
  <si>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</si>
  <si>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</si>
  <si>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</si>
  <si>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</si>
  <si>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</si>
  <si>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</si>
  <si>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</si>
  <si>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</si>
  <si>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</si>
  <si>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</si>
  <si>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</si>
  <si>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</si>
  <si>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</si>
  <si>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</si>
  <si>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</si>
  <si>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</si>
  <si>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</si>
  <si>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</si>
  <si>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</si>
  <si>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</si>
  <si>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</si>
  <si>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</si>
  <si>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</si>
  <si>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</si>
  <si>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</si>
  <si>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</si>
  <si>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</si>
  <si>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</si>
  <si>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</si>
  <si>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</si>
  <si>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</si>
  <si>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</si>
  <si>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</si>
  <si>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</si>
  <si>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</si>
  <si>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</si>
  <si>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</si>
  <si>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</si>
  <si>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</si>
  <si>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</si>
  <si>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</si>
  <si>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</si>
  <si>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</si>
  <si>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</si>
  <si>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</si>
  <si>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</si>
  <si>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</si>
  <si>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</si>
  <si>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</si>
  <si>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</si>
  <si>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</si>
  <si>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</si>
  <si>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</si>
  <si>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</si>
  <si>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</si>
  <si>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</si>
  <si>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</si>
  <si>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</si>
  <si>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</si>
  <si>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</si>
  <si>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</si>
  <si>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</si>
  <si>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</si>
  <si>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</si>
  <si>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</si>
  <si>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</si>
  <si>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</si>
  <si>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</si>
  <si>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</si>
  <si>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</si>
  <si>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</si>
  <si>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</si>
  <si>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</si>
  <si>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</si>
  <si>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</si>
  <si>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</si>
  <si>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</si>
  <si>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</si>
  <si>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</si>
  <si>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</si>
  <si>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</si>
  <si>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</si>
  <si>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</si>
  <si>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</si>
  <si>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</si>
  <si>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</si>
  <si>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</si>
  <si>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</si>
  <si>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</si>
  <si>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</si>
  <si>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</si>
  <si>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</si>
  <si>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</si>
  <si>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</si>
  <si>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</si>
  <si>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</si>
  <si>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</si>
  <si>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</si>
  <si>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</si>
  <si>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</si>
  <si>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</si>
  <si>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</si>
  <si>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</si>
  <si>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</si>
  <si>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</si>
  <si>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</si>
  <si>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</si>
  <si>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</si>
  <si>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</si>
  <si>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</si>
  <si>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</si>
  <si>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</si>
  <si>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</si>
  <si>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</si>
  <si>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</si>
  <si>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</si>
  <si>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</si>
  <si>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</si>
  <si>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</si>
  <si>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</si>
  <si>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</si>
  <si>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</si>
  <si>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</si>
  <si>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</si>
  <si>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</si>
  <si>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</si>
  <si>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</si>
  <si>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</si>
  <si>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</si>
  <si>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</si>
  <si>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</si>
  <si>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</si>
  <si>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</si>
  <si>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</si>
  <si>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</si>
  <si>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</si>
  <si>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</si>
  <si>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</si>
  <si>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</si>
  <si>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</si>
  <si>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</si>
  <si>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</si>
  <si>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</si>
  <si>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</si>
  <si>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</si>
  <si>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</si>
  <si>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</si>
  <si>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</si>
  <si>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</si>
  <si>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</si>
  <si>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</si>
  <si>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</si>
  <si>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</si>
  <si>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</si>
  <si>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</si>
  <si>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</si>
  <si>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</si>
  <si>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</si>
  <si>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</si>
  <si>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</si>
  <si>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</si>
  <si>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</si>
  <si>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</si>
  <si>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</si>
  <si>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</si>
  <si>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</si>
  <si>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</si>
  <si>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</si>
  <si>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</si>
  <si>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</si>
  <si>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</si>
  <si>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</si>
  <si>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</si>
  <si>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</si>
  <si>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</si>
  <si>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</si>
  <si>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</si>
  <si>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</si>
  <si>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</si>
  <si>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</si>
  <si>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</si>
  <si>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</si>
  <si>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</si>
  <si>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</si>
  <si>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</si>
  <si>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</si>
  <si>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</si>
  <si>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</si>
  <si>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</si>
  <si>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</si>
  <si>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</si>
  <si>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</si>
  <si>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</si>
  <si>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</si>
  <si>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</si>
  <si>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</si>
  <si>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</si>
  <si>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</si>
  <si>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</si>
  <si>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</si>
  <si>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</si>
  <si>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</si>
  <si>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</si>
  <si>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</si>
  <si>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</si>
  <si>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</si>
  <si>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</si>
  <si>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</si>
  <si>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</si>
  <si>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</si>
  <si>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</si>
  <si>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</si>
  <si>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</si>
  <si>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</si>
  <si>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</si>
  <si>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</si>
  <si>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</si>
  <si>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</si>
  <si>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</si>
  <si>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</si>
  <si>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</si>
  <si>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</si>
  <si>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</si>
  <si>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</si>
  <si>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</si>
  <si>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</si>
  <si>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</si>
  <si>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</si>
  <si>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</si>
  <si>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</si>
  <si>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</si>
  <si>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</si>
  <si>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</si>
  <si>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</si>
  <si>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</si>
  <si>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</si>
  <si>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</si>
  <si>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</si>
  <si>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</si>
  <si>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</si>
  <si>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</si>
  <si>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</si>
  <si>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</si>
  <si>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</si>
  <si>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</si>
  <si>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</si>
  <si>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</si>
  <si>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</si>
  <si>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</si>
  <si>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</si>
  <si>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</si>
  <si>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</si>
  <si>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</si>
  <si>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</si>
  <si>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</si>
  <si>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</si>
  <si>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</si>
  <si>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</si>
  <si>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</si>
  <si>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</si>
  <si>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</si>
  <si>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</si>
  <si>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</si>
  <si>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</si>
  <si>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</si>
  <si>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</si>
  <si>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</si>
  <si>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</si>
  <si>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</si>
  <si>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</si>
  <si>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</si>
  <si>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</si>
  <si>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</si>
  <si>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</si>
  <si>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</si>
  <si>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</si>
  <si>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</si>
  <si>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</si>
  <si>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</si>
  <si>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</si>
  <si>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</si>
  <si>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</si>
  <si>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</si>
  <si>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</si>
  <si>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</si>
  <si>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</si>
  <si>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</si>
  <si>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</si>
  <si>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</si>
  <si>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</si>
  <si>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</si>
  <si>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</si>
  <si>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</si>
  <si>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</si>
  <si>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</si>
  <si>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</si>
  <si>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</si>
  <si>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</si>
  <si>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</si>
  <si>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</si>
  <si>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</si>
  <si>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</si>
  <si>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</si>
  <si>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</si>
  <si>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</si>
  <si>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</si>
  <si>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</si>
  <si>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</si>
  <si>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</si>
  <si>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</si>
  <si>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</si>
  <si>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</si>
  <si>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</si>
  <si>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</si>
  <si>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</si>
  <si>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</si>
  <si>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</si>
  <si>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</si>
  <si>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</si>
  <si>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</si>
  <si>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</si>
  <si>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</si>
  <si>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</si>
  <si>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</si>
  <si>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</si>
  <si>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</si>
  <si>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</si>
  <si>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</si>
  <si>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</si>
  <si>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</si>
  <si>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</si>
  <si>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</si>
  <si>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</si>
  <si>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</si>
  <si>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</si>
  <si>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</si>
  <si>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</si>
  <si>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</si>
  <si>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</si>
  <si>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</si>
  <si>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</si>
  <si>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</si>
  <si>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</si>
  <si>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</si>
  <si>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</si>
  <si>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</si>
  <si>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</si>
  <si>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</si>
  <si>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</si>
  <si>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</si>
  <si>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</si>
  <si>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</si>
  <si>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</si>
  <si>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</si>
  <si>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</si>
  <si>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</si>
  <si>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</si>
  <si>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</si>
  <si>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</si>
  <si>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</si>
  <si>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</si>
  <si>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</si>
  <si>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</si>
  <si>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</si>
  <si>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</si>
  <si>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</si>
  <si>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</si>
  <si>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</si>
  <si>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</si>
  <si>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</si>
  <si>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</si>
  <si>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</si>
  <si>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</si>
  <si>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</si>
  <si>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</si>
  <si>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</si>
  <si>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</si>
  <si>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</si>
  <si>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</si>
  <si>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</si>
  <si>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</si>
  <si>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</si>
  <si>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</si>
  <si>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</si>
  <si>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</si>
  <si>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</si>
  <si>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</si>
  <si>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</si>
  <si>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</si>
  <si>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</si>
  <si>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</si>
  <si>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</si>
  <si>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</si>
  <si>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</si>
  <si>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</si>
  <si>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</si>
  <si>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</si>
  <si>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</si>
  <si>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</si>
  <si>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</si>
  <si>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</si>
  <si>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</si>
  <si>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</si>
  <si>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</si>
  <si>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</si>
  <si>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</si>
  <si>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</si>
  <si>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</si>
  <si>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</si>
  <si>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</si>
  <si>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</si>
  <si>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</si>
  <si>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</si>
  <si>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</si>
  <si>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</si>
  <si>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</si>
  <si>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</si>
  <si>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</si>
  <si>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</si>
  <si>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</si>
  <si>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</si>
  <si>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</si>
  <si>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</si>
  <si>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</si>
  <si>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</si>
  <si>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</si>
  <si>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</si>
  <si>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</si>
  <si>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</si>
  <si>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</si>
  <si>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</si>
  <si>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</si>
  <si>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</si>
  <si>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</si>
  <si>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</si>
  <si>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</si>
  <si>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</si>
  <si>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</si>
  <si>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</si>
  <si>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</si>
  <si>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</si>
  <si>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</si>
  <si>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</si>
  <si>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</si>
  <si>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</si>
  <si>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</si>
  <si>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</si>
  <si>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</si>
  <si>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</si>
  <si>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</si>
  <si>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</si>
  <si>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</si>
  <si>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</si>
  <si>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</si>
  <si>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</si>
  <si>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</si>
  <si>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</si>
  <si>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</si>
  <si>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</si>
  <si>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</si>
  <si>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</si>
  <si>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</si>
  <si>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</si>
  <si>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</si>
  <si>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</si>
  <si>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</si>
  <si>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</si>
  <si>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</si>
  <si>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</si>
  <si>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</si>
  <si>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</si>
  <si>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</si>
  <si>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</si>
  <si>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</si>
  <si>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</si>
  <si>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</si>
  <si>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</si>
  <si>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</si>
  <si>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</si>
  <si>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</si>
  <si>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</si>
  <si>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</si>
  <si>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</si>
  <si>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</si>
  <si>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>AF3184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</si>
  <si>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</si>
  <si>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</si>
  <si>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</si>
  <si>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038568742407</t>
  </si>
  <si>
    <t>038568316066</t>
  </si>
  <si>
    <t>038568742339</t>
  </si>
  <si>
    <t>038568742902</t>
  </si>
  <si>
    <t>USA and China</t>
  </si>
  <si>
    <t>2013-14 Buick Encore</t>
  </si>
  <si>
    <t>28113-2M200</t>
  </si>
  <si>
    <t>Hyundai</t>
  </si>
  <si>
    <t xml:space="preserve">2013-14 Hyundai Genesis Coupe </t>
  </si>
  <si>
    <t>CA11420</t>
  </si>
  <si>
    <t>CA11501</t>
  </si>
  <si>
    <t>LH7041V</t>
  </si>
  <si>
    <t>Hydraulic Element</t>
  </si>
  <si>
    <t>G01337</t>
  </si>
  <si>
    <t>MAHLE/PUROLATOR/FACET</t>
  </si>
  <si>
    <t>30P0EAM251F2</t>
  </si>
  <si>
    <t>DONALDSON/FBO/DCI</t>
  </si>
  <si>
    <t>P170072</t>
  </si>
  <si>
    <t>Correct Cross References</t>
  </si>
  <si>
    <t>Cross Reference Innacuracy on Original NPI Announcment</t>
  </si>
  <si>
    <t>AF5212</t>
  </si>
  <si>
    <t>AF3615</t>
  </si>
  <si>
    <t>038568742469</t>
  </si>
  <si>
    <t>038568316073</t>
  </si>
  <si>
    <t>038568742520</t>
  </si>
  <si>
    <t>AF5220</t>
  </si>
  <si>
    <t>AF3609</t>
  </si>
  <si>
    <t>AF7904</t>
  </si>
  <si>
    <t>038568316028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</si>
  <si>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</si>
  <si>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</si>
  <si>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</si>
  <si>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</si>
  <si>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</si>
  <si>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</si>
  <si>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</si>
  <si>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</si>
  <si>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</si>
  <si>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</si>
  <si>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</si>
  <si>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CA11450</t>
  </si>
  <si>
    <t>AF1559</t>
  </si>
  <si>
    <t>33-2478</t>
  </si>
  <si>
    <t>A46297</t>
  </si>
  <si>
    <t>WAF5220</t>
  </si>
  <si>
    <t>SA11450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</si>
  <si>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</si>
  <si>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</si>
  <si>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</si>
  <si>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</si>
  <si>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</si>
  <si>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</si>
  <si>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</si>
  <si>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</si>
  <si>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</si>
  <si>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</si>
  <si>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</si>
  <si>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</si>
  <si>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</si>
  <si>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Lexus</t>
  </si>
  <si>
    <t>17801-31170</t>
  </si>
  <si>
    <t xml:space="preserve">2008-14 Lexus GS Series </t>
  </si>
  <si>
    <t>Land Rover</t>
  </si>
  <si>
    <t>LR029078</t>
  </si>
  <si>
    <t xml:space="preserve">Land Rover Evoque (2012-15) </t>
  </si>
  <si>
    <t>Nissan</t>
  </si>
  <si>
    <t xml:space="preserve">Nissan Altima 2.5L (2013-14) </t>
  </si>
  <si>
    <t>LR011593</t>
  </si>
  <si>
    <t xml:space="preserve">Land Rover LR4, Range Rover  (2010-2012) </t>
  </si>
  <si>
    <t>Mercedes C63,CLK63 AMG, CLS63 AMG (2007-12)</t>
  </si>
  <si>
    <t xml:space="preserve">Mobil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</si>
</sst>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d\-mmm\-yy;@"/>
    <numFmt numFmtId="167" formatCode="[$-409]mmmm\ d\,\ yyyy;@"/>
    <numFmt numFmtId="168" formatCode="000000000000"/>
  </numFmts>
  <fonts count="4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1"/>
      <color rgb="FF00B0F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44" fontId="37" fillId="0" borderId="0" applyFont="0" applyFill="0" applyBorder="0" applyAlignment="0" applyProtection="0"/>
    <xf numFmtId="0" fontId="17" fillId="0" borderId="0"/>
  </cellStyleXfs>
  <cellXfs count="228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22" fillId="0" borderId="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0" borderId="0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67" fontId="30" fillId="0" borderId="0" xfId="0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0" fillId="8" borderId="0" xfId="0" applyNumberFormat="1" applyFill="1" applyBorder="1" applyAlignment="1">
      <alignment horizontal="center" vertical="center"/>
    </xf>
    <xf numFmtId="0" fontId="5" fillId="8" borderId="0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2" fontId="0" fillId="7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7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/>
    </xf>
    <xf numFmtId="0" fontId="17" fillId="0" borderId="1" xfId="0" applyFont="1" applyBorder="1"/>
    <xf numFmtId="49" fontId="34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5" xfId="0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/>
    <xf numFmtId="0" fontId="8" fillId="0" borderId="0" xfId="0" applyFont="1" applyFill="1" applyBorder="1" applyAlignment="1"/>
    <xf numFmtId="15" fontId="0" fillId="0" borderId="0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164" fontId="0" fillId="0" borderId="1" xfId="2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39" fillId="0" borderId="1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18" fillId="0" borderId="1" xfId="0" applyFont="1" applyBorder="1"/>
    <xf numFmtId="168" fontId="41" fillId="0" borderId="1" xfId="3" applyNumberFormat="1" applyFont="1" applyBorder="1" applyAlignment="1">
      <alignment horizontal="center" vertical="center"/>
    </xf>
    <xf numFmtId="1" fontId="41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8" fillId="11" borderId="1" xfId="0" applyNumberFormat="1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49" fontId="8" fillId="11" borderId="1" xfId="0" applyNumberFormat="1" applyFont="1" applyFill="1" applyBorder="1" applyAlignment="1">
      <alignment wrapText="1"/>
    </xf>
    <xf numFmtId="0" fontId="0" fillId="0" borderId="0" xfId="0" applyFill="1"/>
    <xf numFmtId="0" fontId="42" fillId="0" borderId="0" xfId="0" applyFont="1"/>
    <xf numFmtId="0" fontId="8" fillId="12" borderId="1" xfId="0" applyFont="1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1" fontId="28" fillId="4" borderId="0" xfId="0" applyNumberFormat="1" applyFont="1" applyFill="1" applyAlignment="1">
      <alignment horizontal="center" vertical="center" wrapText="1"/>
    </xf>
    <xf numFmtId="165" fontId="27" fillId="5" borderId="0" xfId="0" applyNumberFormat="1" applyFont="1" applyFill="1" applyAlignment="1">
      <alignment horizontal="center" vertical="center" wrapText="1"/>
    </xf>
    <xf numFmtId="0" fontId="7" fillId="9" borderId="0" xfId="0" applyNumberFormat="1" applyFont="1" applyFill="1" applyBorder="1" applyAlignment="1">
      <alignment horizontal="center" vertical="center"/>
    </xf>
    <xf numFmtId="49" fontId="29" fillId="6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 vertical="center" wrapText="1"/>
    </xf>
    <xf numFmtId="49" fontId="33" fillId="10" borderId="0" xfId="0" applyNumberFormat="1" applyFont="1" applyFill="1" applyAlignment="1">
      <alignment horizontal="center" vertical="center" wrapText="1"/>
    </xf>
    <xf numFmtId="165" fontId="26" fillId="4" borderId="0" xfId="0" applyNumberFormat="1" applyFont="1" applyFill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45" fillId="0" borderId="1" xfId="0" applyFont="1" applyBorder="1"/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</cellXfs>
  <cellStyles count="4">
    <cellStyle name="Currency" xfId="2" builtinId="4"/>
    <cellStyle name="Normal" xfId="0" builtinId="0"/>
    <cellStyle name="Normal 3" xfId="1"/>
    <cellStyle name="Normal 9" xfId="3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734745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1" y="190500"/>
          <a:ext cx="159199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14300"/>
          <a:ext cx="1514475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114935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210" y="114300"/>
          <a:ext cx="1735455" cy="480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734745</xdr:colOff>
      <xdr:row>2</xdr:row>
      <xdr:rowOff>154305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1" y="182880"/>
          <a:ext cx="1618664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363270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1" y="190500"/>
          <a:ext cx="159199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363270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1" y="190500"/>
          <a:ext cx="159199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363270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1" y="190500"/>
          <a:ext cx="159199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AppData/Local/Microsoft/Windows/Temporary%20Internet%20Files/Content.Outlook/579CM557/2015%20New%20Product%20Summary%20-%20Mid%20Feb%20All%20Brands%20%20Pre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ly January 2015"/>
      <sheetName val="Mid January 2015"/>
      <sheetName val="Early Feb 2015"/>
      <sheetName val="Mid Feb 2015"/>
    </sheetNames>
    <sheetDataSet>
      <sheetData sheetId="0"/>
      <sheetData sheetId="1"/>
      <sheetData sheetId="2"/>
      <sheetData sheetId="3">
        <row r="3">
          <cell r="A3" t="str">
            <v>AF3105</v>
          </cell>
          <cell r="B3" t="str">
            <v>Luberfiner</v>
          </cell>
          <cell r="C3" t="str">
            <v>PV</v>
          </cell>
          <cell r="D3" t="str">
            <v>LUBERFINER AIR PASSCAR</v>
          </cell>
          <cell r="E3" t="str">
            <v>Cadillac CTS (2009-12)</v>
          </cell>
          <cell r="F3" t="str">
            <v>GM</v>
          </cell>
          <cell r="G3">
            <v>25898499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CA11054</v>
          </cell>
        </row>
        <row r="4">
          <cell r="A4" t="str">
            <v>AF3221</v>
          </cell>
          <cell r="B4" t="str">
            <v>Luberfiner</v>
          </cell>
          <cell r="C4" t="str">
            <v>PV</v>
          </cell>
          <cell r="D4" t="str">
            <v>LUBERFINER AIR PASSCAR</v>
          </cell>
          <cell r="E4" t="str">
            <v>BMW X5 Diesel (2009-13)</v>
          </cell>
          <cell r="F4" t="str">
            <v>BMW</v>
          </cell>
          <cell r="G4">
            <v>13717798342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CA11013</v>
          </cell>
        </row>
        <row r="5">
          <cell r="A5" t="str">
            <v>AF5698</v>
          </cell>
          <cell r="B5" t="str">
            <v>Luberfiner</v>
          </cell>
          <cell r="C5" t="str">
            <v>PV</v>
          </cell>
          <cell r="D5" t="str">
            <v>LUBERFINER AIR PASSCAR</v>
          </cell>
          <cell r="E5" t="str">
            <v>Mercedes C250 (2012-14)</v>
          </cell>
          <cell r="F5" t="str">
            <v>Mercedes</v>
          </cell>
          <cell r="G5">
            <v>2710940304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 t="str">
            <v>CA11453</v>
          </cell>
        </row>
        <row r="6">
          <cell r="A6" t="str">
            <v>AF5213</v>
          </cell>
          <cell r="B6" t="str">
            <v>Champ</v>
          </cell>
          <cell r="C6" t="str">
            <v>PV</v>
          </cell>
          <cell r="D6" t="str">
            <v>CHAMP AIR PASSCAR</v>
          </cell>
          <cell r="E6" t="str">
            <v>Hyundia Genesis Coupe (2013-14)</v>
          </cell>
          <cell r="F6" t="str">
            <v>Hyundia</v>
          </cell>
          <cell r="G6" t="str">
            <v>281132M200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CA11420</v>
          </cell>
        </row>
        <row r="7">
          <cell r="A7" t="str">
            <v>AF5215</v>
          </cell>
          <cell r="B7" t="str">
            <v>Champ</v>
          </cell>
          <cell r="C7" t="str">
            <v>PV</v>
          </cell>
          <cell r="D7" t="str">
            <v>CHAMP AIR PASSCAR</v>
          </cell>
          <cell r="E7" t="str">
            <v>Kia Sportage 2.0L turbo (2011-14)</v>
          </cell>
          <cell r="F7" t="str">
            <v>Kia</v>
          </cell>
          <cell r="G7" t="str">
            <v>281133W500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CA11421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T132"/>
  <sheetViews>
    <sheetView tabSelected="1"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ColWidth="9.140625" defaultRowHeight="15" x14ac:dyDescent="0.25"/>
  <cols>
    <col min="1" max="1" width="9.7109375" style="4" hidden="1" customWidth="1"/>
    <col min="2" max="2" width="10.28515625" style="4" customWidth="1"/>
    <col min="3" max="3" width="12.28515625" style="21" bestFit="1" customWidth="1"/>
    <col min="4" max="4" width="8.7109375" style="21" bestFit="1" customWidth="1"/>
    <col min="5" max="5" width="29" style="4" customWidth="1"/>
    <col min="6" max="6" width="51" style="15" customWidth="1"/>
    <col min="7" max="7" width="22.7109375" style="4" customWidth="1"/>
    <col min="8" max="8" width="12.85546875" style="4" bestFit="1" customWidth="1"/>
    <col min="9" max="9" width="32.5703125" style="4" bestFit="1" customWidth="1"/>
    <col min="10" max="10" width="14.28515625" style="4" bestFit="1" customWidth="1"/>
    <col min="11" max="11" width="21" style="4" bestFit="1" customWidth="1"/>
    <col min="12" max="12" width="10.7109375" style="4" bestFit="1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12" style="4" customWidth="1"/>
    <col min="42" max="42" width="13" style="4" customWidth="1"/>
    <col min="43" max="43" width="9.140625" style="4" customWidth="1"/>
    <col min="44" max="44" width="14.85546875" style="4" customWidth="1"/>
    <col min="45" max="45" width="17.140625" style="4" customWidth="1"/>
    <col min="46" max="46" width="11.5703125" style="4" bestFit="1" customWidth="1"/>
    <col min="47" max="47" width="11.140625" style="4" bestFit="1" customWidth="1"/>
    <col min="48" max="48" width="11.42578125" style="4" bestFit="1" customWidth="1"/>
    <col min="49" max="49" width="8.28515625" style="4" bestFit="1" customWidth="1"/>
    <col min="50" max="50" width="11.42578125" style="4" bestFit="1" customWidth="1"/>
    <col min="51" max="51" width="8.85546875" style="4" bestFit="1" customWidth="1"/>
    <col min="52" max="52" width="7" style="4" bestFit="1" customWidth="1"/>
    <col min="53" max="53" width="17.85546875" style="4" customWidth="1"/>
    <col min="54" max="54" width="6.85546875" style="4" bestFit="1" customWidth="1"/>
    <col min="55" max="55" width="6.7109375" style="4" customWidth="1"/>
    <col min="56" max="56" width="7.5703125" style="4" bestFit="1" customWidth="1"/>
    <col min="57" max="57" width="7" style="4" bestFit="1" customWidth="1"/>
    <col min="58" max="58" width="20.140625" style="4" bestFit="1" customWidth="1"/>
    <col min="59" max="59" width="6.85546875" style="4" bestFit="1" customWidth="1"/>
    <col min="60" max="60" width="5.5703125" style="4" bestFit="1" customWidth="1"/>
    <col min="61" max="61" width="7.5703125" style="4" bestFit="1" customWidth="1"/>
    <col min="62" max="62" width="17.85546875" style="4" customWidth="1"/>
    <col min="63" max="63" width="10.42578125" style="4" bestFit="1" customWidth="1"/>
    <col min="64" max="64" width="12" style="4" bestFit="1" customWidth="1"/>
    <col min="65" max="66" width="14.42578125" style="4" bestFit="1" customWidth="1"/>
    <col min="67" max="67" width="13.28515625" style="4" bestFit="1" customWidth="1"/>
    <col min="68" max="68" width="16.28515625" style="4" bestFit="1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16384" width="9.140625" style="4"/>
  </cols>
  <sheetData>
    <row r="2" spans="1:72" ht="23.25" x14ac:dyDescent="0.25">
      <c r="F2" s="2" t="s">
        <v>184</v>
      </c>
      <c r="H2" s="2"/>
      <c r="I2" s="3"/>
    </row>
    <row r="3" spans="1:72" ht="20.25" x14ac:dyDescent="0.25">
      <c r="F3" s="55">
        <v>42159</v>
      </c>
    </row>
    <row r="4" spans="1:72" ht="15.75" customHeight="1" x14ac:dyDescent="0.25">
      <c r="E4" s="16" t="s">
        <v>17</v>
      </c>
      <c r="G4" s="65"/>
      <c r="H4" s="65"/>
      <c r="I4" s="66" t="s">
        <v>15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209" t="s">
        <v>16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 t="s">
        <v>85</v>
      </c>
      <c r="AQ4" s="210"/>
      <c r="AR4" s="211" t="s">
        <v>19</v>
      </c>
      <c r="AS4" s="211"/>
      <c r="AT4" s="212" t="s">
        <v>91</v>
      </c>
      <c r="AU4" s="212"/>
      <c r="AV4" s="212"/>
      <c r="AW4" s="212"/>
      <c r="AX4" s="212"/>
      <c r="AY4" s="212"/>
      <c r="AZ4" s="213" t="s">
        <v>22</v>
      </c>
      <c r="BA4" s="213"/>
      <c r="BB4" s="213"/>
      <c r="BC4" s="213"/>
      <c r="BD4" s="213"/>
      <c r="BE4" s="208" t="s">
        <v>28</v>
      </c>
      <c r="BF4" s="208"/>
      <c r="BG4" s="208"/>
      <c r="BH4" s="208"/>
      <c r="BI4" s="208"/>
      <c r="BJ4" s="207" t="s">
        <v>34</v>
      </c>
      <c r="BK4" s="207"/>
      <c r="BL4" s="207"/>
      <c r="BM4" s="207"/>
      <c r="BN4" s="207"/>
      <c r="BO4" s="207"/>
      <c r="BP4" s="207"/>
      <c r="BQ4" s="207"/>
    </row>
    <row r="5" spans="1:72" x14ac:dyDescent="0.25">
      <c r="A5" s="156" t="s">
        <v>293</v>
      </c>
      <c r="B5" s="156" t="s">
        <v>294</v>
      </c>
      <c r="C5" s="17" t="s">
        <v>0</v>
      </c>
      <c r="D5" s="22" t="s">
        <v>83</v>
      </c>
      <c r="E5" s="17" t="s">
        <v>2</v>
      </c>
      <c r="F5" s="5" t="s">
        <v>1</v>
      </c>
      <c r="G5" s="6" t="s">
        <v>3</v>
      </c>
      <c r="H5" s="6" t="s">
        <v>7</v>
      </c>
      <c r="I5" s="6" t="s">
        <v>4</v>
      </c>
      <c r="J5" s="6" t="s">
        <v>6</v>
      </c>
      <c r="K5" s="6" t="s">
        <v>5</v>
      </c>
      <c r="L5" s="6" t="s">
        <v>56</v>
      </c>
      <c r="M5" s="6" t="s">
        <v>54</v>
      </c>
      <c r="N5" s="6" t="s">
        <v>57</v>
      </c>
      <c r="O5" s="6" t="s">
        <v>58</v>
      </c>
      <c r="P5" s="6" t="s">
        <v>59</v>
      </c>
      <c r="Q5" s="6" t="s">
        <v>60</v>
      </c>
      <c r="R5" s="6" t="s">
        <v>61</v>
      </c>
      <c r="S5" s="6" t="s">
        <v>80</v>
      </c>
      <c r="T5" s="6" t="s">
        <v>61</v>
      </c>
      <c r="U5" s="7" t="s">
        <v>8</v>
      </c>
      <c r="V5" s="7" t="s">
        <v>47</v>
      </c>
      <c r="W5" s="7" t="s">
        <v>9</v>
      </c>
      <c r="X5" s="7" t="s">
        <v>36</v>
      </c>
      <c r="Y5" s="7" t="s">
        <v>10</v>
      </c>
      <c r="Z5" s="7" t="s">
        <v>48</v>
      </c>
      <c r="AA5" s="7" t="s">
        <v>11</v>
      </c>
      <c r="AB5" s="7" t="s">
        <v>53</v>
      </c>
      <c r="AC5" s="7" t="s">
        <v>12</v>
      </c>
      <c r="AD5" s="7" t="s">
        <v>52</v>
      </c>
      <c r="AE5" s="7" t="s">
        <v>49</v>
      </c>
      <c r="AF5" s="7" t="s">
        <v>14</v>
      </c>
      <c r="AG5" s="7" t="s">
        <v>37</v>
      </c>
      <c r="AH5" s="7" t="s">
        <v>1095</v>
      </c>
      <c r="AI5" s="7" t="s">
        <v>51</v>
      </c>
      <c r="AJ5" s="7" t="s">
        <v>46</v>
      </c>
      <c r="AK5" s="7" t="s">
        <v>38</v>
      </c>
      <c r="AL5" s="7" t="s">
        <v>86</v>
      </c>
      <c r="AM5" s="7" t="s">
        <v>39</v>
      </c>
      <c r="AN5" s="7" t="s">
        <v>40</v>
      </c>
      <c r="AO5" s="7" t="s">
        <v>13</v>
      </c>
      <c r="AP5" s="11" t="s">
        <v>20</v>
      </c>
      <c r="AQ5" s="11" t="s">
        <v>21</v>
      </c>
      <c r="AR5" s="8" t="s">
        <v>18</v>
      </c>
      <c r="AS5" s="8" t="s">
        <v>55</v>
      </c>
      <c r="AT5" s="70" t="s">
        <v>23</v>
      </c>
      <c r="AU5" s="70" t="s">
        <v>24</v>
      </c>
      <c r="AV5" s="70" t="s">
        <v>25</v>
      </c>
      <c r="AW5" s="70" t="s">
        <v>92</v>
      </c>
      <c r="AX5" s="70" t="s">
        <v>25</v>
      </c>
      <c r="AY5" s="70" t="s">
        <v>93</v>
      </c>
      <c r="AZ5" s="9" t="s">
        <v>23</v>
      </c>
      <c r="BA5" s="9" t="s">
        <v>24</v>
      </c>
      <c r="BB5" s="9" t="s">
        <v>25</v>
      </c>
      <c r="BC5" s="9" t="s">
        <v>26</v>
      </c>
      <c r="BD5" s="9" t="s">
        <v>27</v>
      </c>
      <c r="BE5" s="10" t="s">
        <v>23</v>
      </c>
      <c r="BF5" s="10" t="s">
        <v>24</v>
      </c>
      <c r="BG5" s="10" t="s">
        <v>25</v>
      </c>
      <c r="BH5" s="10" t="s">
        <v>26</v>
      </c>
      <c r="BI5" s="10" t="s">
        <v>27</v>
      </c>
      <c r="BJ5" s="11" t="s">
        <v>45</v>
      </c>
      <c r="BK5" s="12" t="s">
        <v>29</v>
      </c>
      <c r="BL5" s="12" t="s">
        <v>30</v>
      </c>
      <c r="BM5" s="12" t="s">
        <v>31</v>
      </c>
      <c r="BN5" s="12" t="s">
        <v>32</v>
      </c>
      <c r="BO5" s="12" t="s">
        <v>33</v>
      </c>
      <c r="BP5" s="12" t="s">
        <v>35</v>
      </c>
      <c r="BQ5" s="12" t="s">
        <v>44</v>
      </c>
      <c r="BR5" s="12" t="s">
        <v>41</v>
      </c>
      <c r="BS5" s="12" t="s">
        <v>42</v>
      </c>
      <c r="BT5" s="12" t="s">
        <v>43</v>
      </c>
    </row>
    <row r="6" spans="1:72" s="1" customFormat="1" ht="14.45" x14ac:dyDescent="0.3">
      <c r="A6" s="157">
        <v>42160</v>
      </c>
      <c r="B6" s="175" t="s">
        <v>14</v>
      </c>
      <c r="C6" s="140" t="s">
        <v>1045</v>
      </c>
      <c r="D6" s="175" t="s">
        <v>289</v>
      </c>
      <c r="E6" s="73" t="s">
        <v>89</v>
      </c>
      <c r="F6" s="51" t="s">
        <v>1086</v>
      </c>
      <c r="G6" s="188" t="s">
        <v>1084</v>
      </c>
      <c r="H6" s="52" t="s">
        <v>1085</v>
      </c>
      <c r="I6" s="118"/>
      <c r="J6" s="118"/>
      <c r="K6" s="44"/>
      <c r="L6" s="45"/>
      <c r="M6" s="45"/>
      <c r="N6" s="45"/>
      <c r="O6" s="69"/>
      <c r="P6" s="69"/>
      <c r="Q6" s="69"/>
      <c r="R6" s="69"/>
      <c r="S6" s="69"/>
      <c r="T6" s="69"/>
      <c r="U6" s="44"/>
      <c r="V6" s="68"/>
      <c r="W6" s="44">
        <v>83240</v>
      </c>
      <c r="X6" s="68"/>
      <c r="Y6" s="140"/>
      <c r="Z6" s="68"/>
      <c r="AA6" s="44"/>
      <c r="AB6" s="86" t="s">
        <v>1057</v>
      </c>
      <c r="AC6" s="118" t="s">
        <v>1058</v>
      </c>
      <c r="AD6" s="161"/>
      <c r="AE6" s="118" t="s">
        <v>1059</v>
      </c>
      <c r="AF6" s="118"/>
      <c r="AG6" s="118"/>
      <c r="AH6" s="118"/>
      <c r="AI6" s="118"/>
      <c r="AJ6" s="118">
        <v>9240</v>
      </c>
      <c r="AK6" s="140" t="s">
        <v>1060</v>
      </c>
      <c r="AL6" s="118"/>
      <c r="AM6" s="118"/>
      <c r="AN6" s="118"/>
      <c r="AO6" s="44">
        <v>49240</v>
      </c>
      <c r="AP6" s="181">
        <v>29.14</v>
      </c>
      <c r="AQ6" s="42">
        <f>AP6/0.444</f>
        <v>65.630630630630634</v>
      </c>
      <c r="AR6" s="95" t="s">
        <v>1047</v>
      </c>
      <c r="AS6" s="96">
        <v>10038568742466</v>
      </c>
      <c r="AT6" s="203">
        <v>9.17</v>
      </c>
      <c r="AU6" s="203">
        <v>9</v>
      </c>
      <c r="AV6" s="203">
        <v>2.48</v>
      </c>
      <c r="AW6" s="97"/>
      <c r="AX6" s="97"/>
      <c r="AY6" s="97"/>
      <c r="AZ6" s="74">
        <f>9.87+(0.018*2)</f>
        <v>9.9059999999999988</v>
      </c>
      <c r="BA6" s="74">
        <f>3.75+(0.018*2)</f>
        <v>3.786</v>
      </c>
      <c r="BB6" s="74">
        <f>9.87+(0.018*4)</f>
        <v>9.9419999999999984</v>
      </c>
      <c r="BC6" s="202">
        <f t="shared" ref="BC6:BC12" si="0">(BB6*BA6*AZ6)/1728</f>
        <v>0.21577888962499994</v>
      </c>
      <c r="BD6" s="74">
        <f>0.591+0.1</f>
        <v>0.69099999999999995</v>
      </c>
      <c r="BE6" s="204">
        <f>11.75+(0.125*2)</f>
        <v>12</v>
      </c>
      <c r="BF6" s="204">
        <f>10.12+(0.125*2)</f>
        <v>10.37</v>
      </c>
      <c r="BG6" s="204">
        <f>10.12+(0.125*4)</f>
        <v>10.62</v>
      </c>
      <c r="BH6" s="202">
        <f t="shared" ref="BH6:BH12" si="1">(BG6*BF6*BE6)/1728</f>
        <v>0.76478749999999995</v>
      </c>
      <c r="BI6" s="74">
        <f>(BD6*3)+0.25</f>
        <v>2.323</v>
      </c>
      <c r="BJ6" s="205" t="s">
        <v>68</v>
      </c>
      <c r="BK6" s="205">
        <v>3</v>
      </c>
      <c r="BL6" s="205">
        <v>12</v>
      </c>
      <c r="BM6" s="205">
        <v>4</v>
      </c>
      <c r="BN6" s="49">
        <f t="shared" ref="BN6:BN12" si="2">BK6*BL6*BM6</f>
        <v>144</v>
      </c>
      <c r="BO6" s="49">
        <f t="shared" ref="BO6:BO12" si="3">(BI6*BL6*BM6)+50</f>
        <v>161.50399999999999</v>
      </c>
      <c r="BP6" s="205" t="s">
        <v>217</v>
      </c>
      <c r="BQ6" s="49" t="s">
        <v>67</v>
      </c>
      <c r="BR6" s="71"/>
      <c r="BS6" s="71"/>
      <c r="BT6" s="71"/>
    </row>
    <row r="7" spans="1:72" s="1" customFormat="1" ht="14.45" x14ac:dyDescent="0.3">
      <c r="A7" s="157">
        <v>42160</v>
      </c>
      <c r="B7" s="175" t="s">
        <v>36</v>
      </c>
      <c r="C7" s="140" t="s">
        <v>1046</v>
      </c>
      <c r="D7" s="175" t="s">
        <v>289</v>
      </c>
      <c r="E7" s="73" t="s">
        <v>89</v>
      </c>
      <c r="F7" s="51" t="s">
        <v>1089</v>
      </c>
      <c r="G7" s="188" t="s">
        <v>1087</v>
      </c>
      <c r="H7" s="52" t="s">
        <v>1088</v>
      </c>
      <c r="I7" s="118"/>
      <c r="J7" s="118"/>
      <c r="K7" s="44"/>
      <c r="L7" s="45"/>
      <c r="M7" s="45"/>
      <c r="N7" s="45"/>
      <c r="O7" s="69"/>
      <c r="P7" s="69"/>
      <c r="Q7" s="69"/>
      <c r="R7" s="69"/>
      <c r="S7" s="69"/>
      <c r="T7" s="69"/>
      <c r="U7" s="44"/>
      <c r="V7" s="68"/>
      <c r="W7" s="44">
        <v>93007</v>
      </c>
      <c r="X7" s="68"/>
      <c r="Y7" s="140"/>
      <c r="Z7" s="68"/>
      <c r="AA7" s="44"/>
      <c r="AB7" s="86" t="s">
        <v>1061</v>
      </c>
      <c r="AC7" s="118"/>
      <c r="AD7" s="161"/>
      <c r="AE7" s="118"/>
      <c r="AF7" s="118"/>
      <c r="AG7" s="118" t="s">
        <v>1062</v>
      </c>
      <c r="AH7" s="118" t="s">
        <v>1046</v>
      </c>
      <c r="AI7" s="118"/>
      <c r="AJ7" s="118"/>
      <c r="AK7" s="140"/>
      <c r="AL7" s="118" t="s">
        <v>1063</v>
      </c>
      <c r="AM7" s="118"/>
      <c r="AN7" s="118"/>
      <c r="AO7" s="44" t="s">
        <v>1064</v>
      </c>
      <c r="AP7" s="181">
        <v>17.350000000000001</v>
      </c>
      <c r="AQ7" s="42">
        <f t="shared" ref="AQ7:AQ12" si="4">AP7/0.444</f>
        <v>39.076576576576578</v>
      </c>
      <c r="AR7" s="95" t="s">
        <v>1048</v>
      </c>
      <c r="AS7" s="96">
        <v>10038568316070</v>
      </c>
      <c r="AT7" s="203">
        <v>11.34</v>
      </c>
      <c r="AU7" s="203">
        <v>7.05</v>
      </c>
      <c r="AV7" s="203">
        <v>2.2799999999999998</v>
      </c>
      <c r="AW7" s="97"/>
      <c r="AX7" s="97"/>
      <c r="AY7" s="97"/>
      <c r="AZ7" s="74">
        <f>7.75+(0.018*2)</f>
        <v>7.7859999999999996</v>
      </c>
      <c r="BA7" s="74">
        <f>2.5+(0.018*2)</f>
        <v>2.536</v>
      </c>
      <c r="BB7" s="74">
        <f>12.75+(0.018*4)</f>
        <v>12.821999999999999</v>
      </c>
      <c r="BC7" s="202">
        <f t="shared" si="0"/>
        <v>0.14651283872222221</v>
      </c>
      <c r="BD7" s="74">
        <f>0.71+0.1</f>
        <v>0.80999999999999994</v>
      </c>
      <c r="BE7" s="204">
        <f>14+(0.125*2)</f>
        <v>14.25</v>
      </c>
      <c r="BF7" s="204">
        <f>9.375+(0.125*2)</f>
        <v>9.625</v>
      </c>
      <c r="BG7" s="204">
        <f>8.125+(0.125*4)</f>
        <v>8.625</v>
      </c>
      <c r="BH7" s="202">
        <f t="shared" si="1"/>
        <v>0.68459065755208337</v>
      </c>
      <c r="BI7" s="74">
        <f>(BD7*3)+0.25</f>
        <v>2.6799999999999997</v>
      </c>
      <c r="BJ7" s="205" t="s">
        <v>68</v>
      </c>
      <c r="BK7" s="205">
        <v>3</v>
      </c>
      <c r="BL7" s="205">
        <v>13</v>
      </c>
      <c r="BM7" s="205">
        <v>5</v>
      </c>
      <c r="BN7" s="49">
        <f t="shared" si="2"/>
        <v>195</v>
      </c>
      <c r="BO7" s="49">
        <f t="shared" si="3"/>
        <v>224.2</v>
      </c>
      <c r="BP7" s="205" t="s">
        <v>69</v>
      </c>
      <c r="BQ7" s="49" t="s">
        <v>67</v>
      </c>
      <c r="BR7" s="71"/>
      <c r="BS7" s="71"/>
      <c r="BT7" s="71"/>
    </row>
    <row r="8" spans="1:72" s="1" customFormat="1" x14ac:dyDescent="0.25">
      <c r="A8" s="157">
        <v>42160</v>
      </c>
      <c r="B8" s="175" t="s">
        <v>14</v>
      </c>
      <c r="C8" s="140" t="s">
        <v>1046</v>
      </c>
      <c r="D8" s="175" t="s">
        <v>289</v>
      </c>
      <c r="E8" s="73" t="s">
        <v>89</v>
      </c>
      <c r="F8" s="51" t="s">
        <v>1089</v>
      </c>
      <c r="G8" s="188" t="s">
        <v>1087</v>
      </c>
      <c r="H8" s="52" t="s">
        <v>1088</v>
      </c>
      <c r="I8" s="118"/>
      <c r="J8" s="118"/>
      <c r="K8" s="44"/>
      <c r="L8" s="45"/>
      <c r="M8" s="45"/>
      <c r="N8" s="45"/>
      <c r="O8" s="69"/>
      <c r="P8" s="69"/>
      <c r="Q8" s="69"/>
      <c r="R8" s="69"/>
      <c r="S8" s="69"/>
      <c r="T8" s="69"/>
      <c r="U8" s="44"/>
      <c r="V8" s="68"/>
      <c r="W8" s="226">
        <v>93007</v>
      </c>
      <c r="X8" s="68" t="s">
        <v>1046</v>
      </c>
      <c r="Y8" s="140"/>
      <c r="Z8" s="68"/>
      <c r="AA8" s="44"/>
      <c r="AB8" s="225" t="s">
        <v>1061</v>
      </c>
      <c r="AC8" s="118"/>
      <c r="AD8" s="161"/>
      <c r="AE8" s="118"/>
      <c r="AF8" s="118"/>
      <c r="AG8" s="227" t="s">
        <v>1062</v>
      </c>
      <c r="AH8" s="227" t="s">
        <v>1046</v>
      </c>
      <c r="AI8" s="118"/>
      <c r="AJ8" s="118"/>
      <c r="AK8" s="140"/>
      <c r="AL8" s="227" t="s">
        <v>1063</v>
      </c>
      <c r="AM8" s="118"/>
      <c r="AN8" s="118"/>
      <c r="AO8" s="226" t="s">
        <v>1064</v>
      </c>
      <c r="AP8" s="181">
        <v>17.350000000000001</v>
      </c>
      <c r="AQ8" s="42">
        <f t="shared" si="4"/>
        <v>39.076576576576578</v>
      </c>
      <c r="AR8" s="95" t="s">
        <v>1049</v>
      </c>
      <c r="AS8" s="96">
        <v>10038568742527</v>
      </c>
      <c r="AT8" s="203">
        <v>11.34</v>
      </c>
      <c r="AU8" s="203">
        <v>7.05</v>
      </c>
      <c r="AV8" s="203">
        <v>2.2799999999999998</v>
      </c>
      <c r="AW8" s="97"/>
      <c r="AX8" s="97"/>
      <c r="AY8" s="97"/>
      <c r="AZ8" s="74">
        <f>7+(0.018*2)</f>
        <v>7.0359999999999996</v>
      </c>
      <c r="BA8" s="74">
        <f>2.5+(0.018*2)</f>
        <v>2.536</v>
      </c>
      <c r="BB8" s="74">
        <f>11.75+(0.018*4)</f>
        <v>11.821999999999999</v>
      </c>
      <c r="BC8" s="202">
        <f t="shared" si="0"/>
        <v>0.12207375307407406</v>
      </c>
      <c r="BD8" s="74">
        <f>0.7+0.1</f>
        <v>0.79999999999999993</v>
      </c>
      <c r="BE8" s="204">
        <f>12+(0.125*2)</f>
        <v>12.25</v>
      </c>
      <c r="BF8" s="204">
        <f>7.25+(0.125*2)</f>
        <v>7.5</v>
      </c>
      <c r="BG8" s="204">
        <f>8+(0.125*4)</f>
        <v>8.5</v>
      </c>
      <c r="BH8" s="202">
        <f t="shared" si="1"/>
        <v>0.4519314236111111</v>
      </c>
      <c r="BI8" s="74">
        <f>(BD8*3)+0.25</f>
        <v>2.65</v>
      </c>
      <c r="BJ8" s="205" t="s">
        <v>68</v>
      </c>
      <c r="BK8" s="205">
        <v>3</v>
      </c>
      <c r="BL8" s="205">
        <v>13</v>
      </c>
      <c r="BM8" s="205">
        <v>5</v>
      </c>
      <c r="BN8" s="49">
        <f t="shared" si="2"/>
        <v>195</v>
      </c>
      <c r="BO8" s="49">
        <f t="shared" si="3"/>
        <v>222.24999999999997</v>
      </c>
      <c r="BP8" s="205" t="s">
        <v>69</v>
      </c>
      <c r="BQ8" s="49" t="s">
        <v>67</v>
      </c>
      <c r="BR8" s="71"/>
      <c r="BS8" s="71"/>
      <c r="BT8" s="71"/>
    </row>
    <row r="9" spans="1:72" s="1" customFormat="1" x14ac:dyDescent="0.25">
      <c r="A9" s="157">
        <v>42160</v>
      </c>
      <c r="B9" s="175" t="s">
        <v>36</v>
      </c>
      <c r="C9" s="140" t="s">
        <v>1050</v>
      </c>
      <c r="D9" s="175" t="s">
        <v>289</v>
      </c>
      <c r="E9" s="73" t="s">
        <v>89</v>
      </c>
      <c r="F9" s="51" t="s">
        <v>1091</v>
      </c>
      <c r="G9" s="188" t="s">
        <v>1090</v>
      </c>
      <c r="H9" s="52" t="s">
        <v>267</v>
      </c>
      <c r="I9" s="118"/>
      <c r="J9" s="118"/>
      <c r="K9" s="44"/>
      <c r="L9" s="45"/>
      <c r="M9" s="45"/>
      <c r="N9" s="45"/>
      <c r="O9" s="69"/>
      <c r="P9" s="69"/>
      <c r="Q9" s="69"/>
      <c r="R9" s="69"/>
      <c r="S9" s="69"/>
      <c r="T9" s="69"/>
      <c r="U9" s="44"/>
      <c r="V9" s="68"/>
      <c r="W9" s="44">
        <v>83073</v>
      </c>
      <c r="X9" s="68"/>
      <c r="Y9" s="140"/>
      <c r="Z9" s="68"/>
      <c r="AA9" s="44"/>
      <c r="AB9" s="161" t="s">
        <v>1065</v>
      </c>
      <c r="AC9" s="118" t="s">
        <v>1066</v>
      </c>
      <c r="AD9" s="161"/>
      <c r="AE9" s="118" t="s">
        <v>1067</v>
      </c>
      <c r="AF9" s="118" t="s">
        <v>1050</v>
      </c>
      <c r="AG9" s="118"/>
      <c r="AH9" s="118" t="s">
        <v>1050</v>
      </c>
      <c r="AI9" s="118"/>
      <c r="AJ9" s="118">
        <v>9073</v>
      </c>
      <c r="AK9" s="140" t="s">
        <v>1068</v>
      </c>
      <c r="AL9" s="118" t="s">
        <v>1070</v>
      </c>
      <c r="AM9" s="118" t="s">
        <v>1069</v>
      </c>
      <c r="AN9" s="118" t="s">
        <v>1069</v>
      </c>
      <c r="AO9" s="44">
        <v>49073</v>
      </c>
      <c r="AP9" s="181">
        <v>14.99</v>
      </c>
      <c r="AQ9" s="42">
        <f t="shared" si="4"/>
        <v>33.761261261261261</v>
      </c>
      <c r="AR9" s="95" t="s">
        <v>1053</v>
      </c>
      <c r="AS9" s="96">
        <v>10038568316025</v>
      </c>
      <c r="AT9" s="203">
        <v>11.5</v>
      </c>
      <c r="AU9" s="203">
        <v>11.38</v>
      </c>
      <c r="AV9" s="203">
        <v>1.08</v>
      </c>
      <c r="AW9" s="97"/>
      <c r="AX9" s="97"/>
      <c r="AY9" s="97"/>
      <c r="AZ9" s="74">
        <f>11.5+(0.018*2)</f>
        <v>11.536</v>
      </c>
      <c r="BA9" s="74">
        <f>2+(0.018*2)</f>
        <v>2.036</v>
      </c>
      <c r="BB9" s="74">
        <f>11.5+(0.018*4)</f>
        <v>11.571999999999999</v>
      </c>
      <c r="BC9" s="202">
        <f t="shared" si="0"/>
        <v>0.15728876696296296</v>
      </c>
      <c r="BD9" s="74">
        <f>0.661+0.1</f>
        <v>0.76100000000000001</v>
      </c>
      <c r="BE9" s="204">
        <f>16.12+(0.125*2)</f>
        <v>16.37</v>
      </c>
      <c r="BF9" s="204">
        <f>12.25+(0.125*2)</f>
        <v>12.5</v>
      </c>
      <c r="BG9" s="204">
        <f>12.25+(0.125*4)</f>
        <v>12.75</v>
      </c>
      <c r="BH9" s="202">
        <f t="shared" si="1"/>
        <v>1.5098198784722223</v>
      </c>
      <c r="BI9" s="74">
        <f>(BD9*6)+0.25</f>
        <v>4.8159999999999998</v>
      </c>
      <c r="BJ9" s="205" t="s">
        <v>68</v>
      </c>
      <c r="BK9" s="205">
        <v>6</v>
      </c>
      <c r="BL9" s="205">
        <v>12</v>
      </c>
      <c r="BM9" s="205">
        <v>3</v>
      </c>
      <c r="BN9" s="49">
        <f t="shared" si="2"/>
        <v>216</v>
      </c>
      <c r="BO9" s="49">
        <f t="shared" si="3"/>
        <v>223.376</v>
      </c>
      <c r="BP9" s="205" t="s">
        <v>69</v>
      </c>
      <c r="BQ9" s="49" t="s">
        <v>67</v>
      </c>
      <c r="BR9" s="71"/>
      <c r="BS9" s="71"/>
      <c r="BT9" s="71"/>
    </row>
    <row r="10" spans="1:72" s="1" customFormat="1" x14ac:dyDescent="0.25">
      <c r="A10" s="157">
        <v>42160</v>
      </c>
      <c r="B10" s="175" t="s">
        <v>14</v>
      </c>
      <c r="C10" s="140" t="s">
        <v>1050</v>
      </c>
      <c r="D10" s="175" t="s">
        <v>289</v>
      </c>
      <c r="E10" s="73" t="s">
        <v>89</v>
      </c>
      <c r="F10" s="51" t="s">
        <v>1091</v>
      </c>
      <c r="G10" s="188" t="s">
        <v>1090</v>
      </c>
      <c r="H10" s="52" t="s">
        <v>267</v>
      </c>
      <c r="I10" s="118"/>
      <c r="J10" s="118"/>
      <c r="K10" s="44"/>
      <c r="L10" s="45"/>
      <c r="M10" s="45"/>
      <c r="N10" s="45"/>
      <c r="O10" s="69"/>
      <c r="P10" s="69"/>
      <c r="Q10" s="69"/>
      <c r="R10" s="69"/>
      <c r="S10" s="69"/>
      <c r="T10" s="69"/>
      <c r="U10" s="44"/>
      <c r="V10" s="68"/>
      <c r="W10" s="44">
        <v>83074</v>
      </c>
      <c r="X10" s="68" t="s">
        <v>1050</v>
      </c>
      <c r="Y10" s="140"/>
      <c r="Z10" s="68"/>
      <c r="AA10" s="44"/>
      <c r="AB10" s="161" t="s">
        <v>1071</v>
      </c>
      <c r="AC10" s="118" t="s">
        <v>1072</v>
      </c>
      <c r="AD10" s="161"/>
      <c r="AE10" s="118" t="s">
        <v>1073</v>
      </c>
      <c r="AF10" s="118"/>
      <c r="AG10" s="118"/>
      <c r="AH10" s="118" t="s">
        <v>1050</v>
      </c>
      <c r="AI10" s="118"/>
      <c r="AJ10" s="118">
        <v>9074</v>
      </c>
      <c r="AK10" s="140" t="s">
        <v>1074</v>
      </c>
      <c r="AL10" s="118" t="s">
        <v>1075</v>
      </c>
      <c r="AM10" s="118" t="s">
        <v>1069</v>
      </c>
      <c r="AN10" s="118" t="s">
        <v>1069</v>
      </c>
      <c r="AO10" s="44">
        <v>49074</v>
      </c>
      <c r="AP10" s="181">
        <v>14.99</v>
      </c>
      <c r="AQ10" s="42">
        <f t="shared" si="4"/>
        <v>33.761261261261261</v>
      </c>
      <c r="AR10" s="95" t="s">
        <v>1054</v>
      </c>
      <c r="AS10" s="96">
        <v>10038568742374</v>
      </c>
      <c r="AT10" s="203">
        <v>11.5</v>
      </c>
      <c r="AU10" s="203">
        <v>11.38</v>
      </c>
      <c r="AV10" s="203">
        <v>1.08</v>
      </c>
      <c r="AW10" s="97"/>
      <c r="AX10" s="97"/>
      <c r="AY10" s="97"/>
      <c r="AZ10" s="74">
        <f>11.5+(0.018*2)</f>
        <v>11.536</v>
      </c>
      <c r="BA10" s="74">
        <f>2+(0.018*2)</f>
        <v>2.036</v>
      </c>
      <c r="BB10" s="74">
        <f>11.5+(0.018*4)</f>
        <v>11.571999999999999</v>
      </c>
      <c r="BC10" s="202">
        <f t="shared" si="0"/>
        <v>0.15728876696296296</v>
      </c>
      <c r="BD10" s="74">
        <f>0.661+0.1</f>
        <v>0.76100000000000001</v>
      </c>
      <c r="BE10" s="204">
        <f>16.12+(0.125*2)</f>
        <v>16.37</v>
      </c>
      <c r="BF10" s="204">
        <f>12.25+(0.125*2)</f>
        <v>12.5</v>
      </c>
      <c r="BG10" s="204">
        <f>12.25+(0.125*4)</f>
        <v>12.75</v>
      </c>
      <c r="BH10" s="202">
        <f t="shared" si="1"/>
        <v>1.5098198784722223</v>
      </c>
      <c r="BI10" s="74">
        <f>(BD10*6)+0.25</f>
        <v>4.8159999999999998</v>
      </c>
      <c r="BJ10" s="205" t="s">
        <v>68</v>
      </c>
      <c r="BK10" s="205">
        <v>6</v>
      </c>
      <c r="BL10" s="205">
        <v>12</v>
      </c>
      <c r="BM10" s="205">
        <v>3</v>
      </c>
      <c r="BN10" s="49">
        <f t="shared" si="2"/>
        <v>216</v>
      </c>
      <c r="BO10" s="49">
        <f t="shared" si="3"/>
        <v>223.376</v>
      </c>
      <c r="BP10" s="205" t="s">
        <v>69</v>
      </c>
      <c r="BQ10" s="49" t="s">
        <v>67</v>
      </c>
      <c r="BR10" s="71"/>
      <c r="BS10" s="71"/>
      <c r="BT10" s="71"/>
    </row>
    <row r="11" spans="1:72" s="1" customFormat="1" x14ac:dyDescent="0.25">
      <c r="A11" s="157">
        <v>42160</v>
      </c>
      <c r="B11" s="175" t="s">
        <v>14</v>
      </c>
      <c r="C11" s="140" t="s">
        <v>1051</v>
      </c>
      <c r="D11" s="175" t="s">
        <v>289</v>
      </c>
      <c r="E11" s="73" t="s">
        <v>89</v>
      </c>
      <c r="F11" s="51" t="s">
        <v>1093</v>
      </c>
      <c r="G11" s="188" t="s">
        <v>1087</v>
      </c>
      <c r="H11" s="52" t="s">
        <v>1092</v>
      </c>
      <c r="I11" s="118"/>
      <c r="J11" s="118"/>
      <c r="K11" s="44"/>
      <c r="L11" s="45"/>
      <c r="M11" s="45"/>
      <c r="N11" s="45"/>
      <c r="O11" s="69"/>
      <c r="P11" s="69"/>
      <c r="Q11" s="69"/>
      <c r="R11" s="69"/>
      <c r="S11" s="69"/>
      <c r="T11" s="69"/>
      <c r="U11" s="44"/>
      <c r="V11" s="68"/>
      <c r="W11" s="44">
        <v>83593</v>
      </c>
      <c r="X11" s="68"/>
      <c r="Y11" s="140"/>
      <c r="Z11" s="68"/>
      <c r="AA11" s="44"/>
      <c r="AB11" s="161" t="s">
        <v>1076</v>
      </c>
      <c r="AC11" s="118" t="s">
        <v>1077</v>
      </c>
      <c r="AD11" s="161"/>
      <c r="AE11" s="118"/>
      <c r="AF11" s="118"/>
      <c r="AG11" s="118" t="s">
        <v>1078</v>
      </c>
      <c r="AH11" s="118"/>
      <c r="AI11" s="118"/>
      <c r="AJ11" s="118">
        <v>9593</v>
      </c>
      <c r="AK11" s="140"/>
      <c r="AL11" s="118"/>
      <c r="AM11" s="118"/>
      <c r="AN11" s="118"/>
      <c r="AO11" s="44">
        <v>49593</v>
      </c>
      <c r="AP11" s="181">
        <v>39.82</v>
      </c>
      <c r="AQ11" s="42">
        <f t="shared" si="4"/>
        <v>89.684684684684683</v>
      </c>
      <c r="AR11" s="95" t="s">
        <v>1055</v>
      </c>
      <c r="AS11" s="96">
        <v>10038568742428</v>
      </c>
      <c r="AT11" s="203">
        <v>13.56</v>
      </c>
      <c r="AU11" s="203">
        <v>6.44</v>
      </c>
      <c r="AV11" s="203">
        <v>1.95</v>
      </c>
      <c r="AW11" s="97"/>
      <c r="AX11" s="97"/>
      <c r="AY11" s="97"/>
      <c r="AZ11" s="74">
        <f>6.5+(0.018*2)</f>
        <v>6.5359999999999996</v>
      </c>
      <c r="BA11" s="74">
        <f>1.75+(0.018*2)</f>
        <v>1.786</v>
      </c>
      <c r="BB11" s="74">
        <f>13.25+(0.018*4)</f>
        <v>13.321999999999999</v>
      </c>
      <c r="BC11" s="202">
        <f t="shared" si="0"/>
        <v>8.9995167425925907E-2</v>
      </c>
      <c r="BD11" s="74">
        <f>0.549+0.1</f>
        <v>0.64900000000000002</v>
      </c>
      <c r="BE11" s="204">
        <f>13.75+(0.125*2)</f>
        <v>14</v>
      </c>
      <c r="BF11" s="204">
        <f>7+(0.125*2)</f>
        <v>7.25</v>
      </c>
      <c r="BG11" s="204">
        <f>6+(0.125*4)</f>
        <v>6.5</v>
      </c>
      <c r="BH11" s="202">
        <f t="shared" si="1"/>
        <v>0.38179976851851855</v>
      </c>
      <c r="BI11" s="74">
        <f>(BD11*3)+0.25</f>
        <v>2.1970000000000001</v>
      </c>
      <c r="BJ11" s="205" t="s">
        <v>68</v>
      </c>
      <c r="BK11" s="205">
        <v>3</v>
      </c>
      <c r="BL11" s="205">
        <v>15</v>
      </c>
      <c r="BM11" s="205">
        <v>6</v>
      </c>
      <c r="BN11" s="49">
        <f t="shared" si="2"/>
        <v>270</v>
      </c>
      <c r="BO11" s="49">
        <f t="shared" si="3"/>
        <v>247.73</v>
      </c>
      <c r="BP11" s="205" t="s">
        <v>307</v>
      </c>
      <c r="BQ11" s="49" t="s">
        <v>67</v>
      </c>
      <c r="BR11" s="71"/>
      <c r="BS11" s="71"/>
      <c r="BT11" s="71"/>
    </row>
    <row r="12" spans="1:72" s="1" customFormat="1" x14ac:dyDescent="0.25">
      <c r="A12" s="157">
        <v>42160</v>
      </c>
      <c r="B12" s="175" t="s">
        <v>14</v>
      </c>
      <c r="C12" s="140" t="s">
        <v>1052</v>
      </c>
      <c r="D12" s="175" t="s">
        <v>289</v>
      </c>
      <c r="E12" s="73" t="s">
        <v>89</v>
      </c>
      <c r="F12" s="51" t="s">
        <v>1094</v>
      </c>
      <c r="G12" s="188" t="s">
        <v>316</v>
      </c>
      <c r="H12" s="52">
        <v>1560940504</v>
      </c>
      <c r="I12" s="118"/>
      <c r="J12" s="118"/>
      <c r="K12" s="44"/>
      <c r="L12" s="45"/>
      <c r="M12" s="45"/>
      <c r="N12" s="45"/>
      <c r="O12" s="69"/>
      <c r="P12" s="69"/>
      <c r="Q12" s="69"/>
      <c r="R12" s="69"/>
      <c r="S12" s="69"/>
      <c r="T12" s="69"/>
      <c r="U12" s="44"/>
      <c r="V12" s="68"/>
      <c r="W12" s="44">
        <v>83504</v>
      </c>
      <c r="X12" s="68"/>
      <c r="Y12" s="140"/>
      <c r="Z12" s="68"/>
      <c r="AA12" s="44"/>
      <c r="AB12" s="161" t="s">
        <v>1079</v>
      </c>
      <c r="AC12" s="118" t="s">
        <v>1080</v>
      </c>
      <c r="AD12" s="161"/>
      <c r="AE12" s="118" t="s">
        <v>1081</v>
      </c>
      <c r="AF12" s="118"/>
      <c r="AG12" s="118" t="s">
        <v>1082</v>
      </c>
      <c r="AH12" s="118"/>
      <c r="AI12" s="118"/>
      <c r="AJ12" s="118">
        <v>9504</v>
      </c>
      <c r="AK12" s="140" t="s">
        <v>1083</v>
      </c>
      <c r="AL12" s="118"/>
      <c r="AM12" s="118"/>
      <c r="AN12" s="118"/>
      <c r="AO12" s="44">
        <v>49504</v>
      </c>
      <c r="AP12" s="181">
        <v>32.71</v>
      </c>
      <c r="AQ12" s="42">
        <f t="shared" si="4"/>
        <v>73.671171171171167</v>
      </c>
      <c r="AR12" s="95" t="s">
        <v>1056</v>
      </c>
      <c r="AS12" s="96">
        <v>10038568742503</v>
      </c>
      <c r="AT12" s="203">
        <v>12.32</v>
      </c>
      <c r="AU12" s="203">
        <v>6.2</v>
      </c>
      <c r="AV12" s="203">
        <v>0.98</v>
      </c>
      <c r="AW12" s="97"/>
      <c r="AX12" s="97"/>
      <c r="AY12" s="97"/>
      <c r="AZ12" s="74">
        <f>7+(0.018*2)</f>
        <v>7.0359999999999996</v>
      </c>
      <c r="BA12" s="74">
        <f>2.5+(0.018*2)</f>
        <v>2.536</v>
      </c>
      <c r="BB12" s="74">
        <f>11.75+(0.018*4)</f>
        <v>11.821999999999999</v>
      </c>
      <c r="BC12" s="202">
        <f t="shared" si="0"/>
        <v>0.12207375307407406</v>
      </c>
      <c r="BD12" s="74">
        <f>0.26+0.1</f>
        <v>0.36</v>
      </c>
      <c r="BE12" s="204">
        <f>12+(0.125*2)</f>
        <v>12.25</v>
      </c>
      <c r="BF12" s="204">
        <f>7.25+(0.125*2)</f>
        <v>7.5</v>
      </c>
      <c r="BG12" s="204">
        <f>8+(0.125*4)</f>
        <v>8.5</v>
      </c>
      <c r="BH12" s="202">
        <f t="shared" si="1"/>
        <v>0.4519314236111111</v>
      </c>
      <c r="BI12" s="74">
        <f>(BD12*3)+0.25</f>
        <v>1.33</v>
      </c>
      <c r="BJ12" s="205" t="s">
        <v>68</v>
      </c>
      <c r="BK12" s="205">
        <v>3</v>
      </c>
      <c r="BL12" s="205">
        <v>15</v>
      </c>
      <c r="BM12" s="205">
        <v>6</v>
      </c>
      <c r="BN12" s="49">
        <f t="shared" si="2"/>
        <v>270</v>
      </c>
      <c r="BO12" s="49">
        <f t="shared" si="3"/>
        <v>169.70000000000002</v>
      </c>
      <c r="BP12" s="205" t="s">
        <v>307</v>
      </c>
      <c r="BQ12" s="49" t="s">
        <v>67</v>
      </c>
      <c r="BR12" s="71"/>
      <c r="BS12" s="71"/>
      <c r="BT12" s="71"/>
    </row>
    <row r="13" spans="1:72" s="21" customFormat="1" ht="15" customHeight="1" x14ac:dyDescent="0.25">
      <c r="C13" s="167"/>
      <c r="D13" s="18"/>
      <c r="E13" s="18"/>
      <c r="F13" s="18"/>
      <c r="G13" s="18"/>
      <c r="H13" s="14"/>
      <c r="I13" s="4"/>
      <c r="J13" s="4"/>
      <c r="K13" s="4"/>
      <c r="U13" s="4"/>
      <c r="AA13" s="4"/>
      <c r="AB13" s="4"/>
      <c r="AP13" s="19"/>
      <c r="AQ13" s="20"/>
      <c r="AR13" s="4"/>
      <c r="AZ13" s="13"/>
      <c r="BA13" s="13"/>
      <c r="BB13" s="13"/>
      <c r="BC13" s="4"/>
      <c r="BD13" s="13"/>
      <c r="BE13" s="13"/>
      <c r="BF13" s="13"/>
      <c r="BG13" s="13"/>
      <c r="BH13" s="4"/>
      <c r="BI13" s="13"/>
      <c r="BJ13" s="4"/>
      <c r="BK13" s="4"/>
      <c r="BP13" s="4"/>
      <c r="BQ13" s="14"/>
    </row>
    <row r="14" spans="1:72" ht="7.5" customHeight="1" x14ac:dyDescent="0.25">
      <c r="C14" s="160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9"/>
      <c r="V14" s="30"/>
      <c r="W14" s="30"/>
      <c r="X14" s="30"/>
      <c r="Y14" s="30"/>
      <c r="Z14" s="30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32"/>
      <c r="AR14" s="29"/>
      <c r="AS14" s="30"/>
      <c r="AT14" s="30"/>
      <c r="AU14" s="30"/>
      <c r="AV14" s="30"/>
      <c r="AW14" s="30"/>
      <c r="AX14" s="30"/>
      <c r="AY14" s="30"/>
      <c r="AZ14" s="33"/>
      <c r="BA14" s="33"/>
      <c r="BB14" s="33"/>
      <c r="BC14" s="29"/>
      <c r="BD14" s="33"/>
      <c r="BE14" s="33"/>
      <c r="BF14" s="33"/>
      <c r="BG14" s="33"/>
      <c r="BH14" s="29"/>
      <c r="BI14" s="33"/>
      <c r="BJ14" s="29"/>
      <c r="BK14" s="29"/>
      <c r="BL14" s="30"/>
      <c r="BM14" s="30"/>
      <c r="BN14" s="30"/>
      <c r="BO14" s="30"/>
      <c r="BP14" s="29"/>
      <c r="BQ14" s="34"/>
      <c r="BR14" s="30"/>
      <c r="BS14" s="21"/>
      <c r="BT14" s="21"/>
    </row>
    <row r="15" spans="1:72" ht="7.5" customHeight="1" x14ac:dyDescent="0.25">
      <c r="C15" s="15"/>
      <c r="D15" s="18"/>
      <c r="E15" s="18"/>
      <c r="F15" s="18"/>
      <c r="G15" s="18"/>
      <c r="H15" s="1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V15" s="21"/>
      <c r="W15" s="21"/>
      <c r="X15" s="21"/>
      <c r="Y15" s="21"/>
      <c r="Z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9"/>
      <c r="AQ15" s="20"/>
      <c r="AS15" s="21"/>
      <c r="AT15" s="21"/>
      <c r="AU15" s="21"/>
      <c r="AV15" s="21"/>
      <c r="AW15" s="21"/>
      <c r="AX15" s="21"/>
      <c r="AY15" s="21"/>
      <c r="AZ15" s="13"/>
      <c r="BA15" s="13"/>
      <c r="BB15" s="13"/>
      <c r="BD15" s="13"/>
      <c r="BE15" s="13"/>
      <c r="BF15" s="13"/>
      <c r="BG15" s="13"/>
      <c r="BI15" s="13"/>
      <c r="BL15" s="21"/>
      <c r="BM15" s="21"/>
      <c r="BN15" s="21"/>
      <c r="BO15" s="21"/>
      <c r="BQ15" s="14"/>
      <c r="BR15" s="21"/>
      <c r="BS15" s="21"/>
      <c r="BT15" s="21"/>
    </row>
    <row r="16" spans="1:72" ht="23.25" x14ac:dyDescent="0.25">
      <c r="C16" s="15"/>
      <c r="D16" s="18"/>
      <c r="E16" s="18"/>
      <c r="F16" s="168" t="s">
        <v>215</v>
      </c>
      <c r="H16" s="18"/>
      <c r="V16" s="21"/>
      <c r="W16" s="21"/>
      <c r="X16" s="21"/>
      <c r="Z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9"/>
      <c r="AQ16" s="20"/>
      <c r="AS16" s="21"/>
      <c r="AT16" s="21"/>
      <c r="AU16" s="21"/>
      <c r="AV16" s="21"/>
      <c r="AW16" s="21"/>
      <c r="AX16" s="21"/>
      <c r="AY16" s="21"/>
      <c r="AZ16" s="13"/>
      <c r="BA16" s="13"/>
      <c r="BB16" s="13"/>
      <c r="BD16" s="13"/>
      <c r="BE16" s="13"/>
      <c r="BF16" s="13"/>
      <c r="BG16" s="13"/>
      <c r="BI16" s="13"/>
      <c r="BL16" s="21"/>
      <c r="BM16" s="21"/>
      <c r="BN16" s="21"/>
      <c r="BO16" s="21"/>
      <c r="BQ16" s="14"/>
      <c r="BR16" s="21"/>
      <c r="BS16" s="21"/>
      <c r="BT16" s="21"/>
    </row>
    <row r="17" spans="1:72" s="21" customFormat="1" x14ac:dyDescent="0.25">
      <c r="C17" s="15"/>
      <c r="D17" s="18"/>
      <c r="E17" s="18"/>
      <c r="F17" s="18"/>
      <c r="G17" s="18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19"/>
      <c r="AQ17" s="20"/>
      <c r="AR17" s="4"/>
      <c r="AS17" s="4"/>
      <c r="AT17" s="4"/>
      <c r="AU17" s="4"/>
      <c r="AV17" s="4"/>
      <c r="AW17" s="4"/>
      <c r="AX17" s="4"/>
      <c r="AY17" s="4"/>
      <c r="AZ17" s="13"/>
      <c r="BA17" s="13"/>
      <c r="BB17" s="13"/>
      <c r="BC17" s="4"/>
      <c r="BD17" s="13"/>
      <c r="BE17" s="13"/>
      <c r="BF17" s="13"/>
      <c r="BG17" s="13"/>
      <c r="BH17" s="4"/>
      <c r="BI17" s="13"/>
      <c r="BJ17" s="4"/>
      <c r="BK17" s="4"/>
      <c r="BL17" s="4"/>
      <c r="BM17" s="4"/>
      <c r="BP17" s="4"/>
      <c r="BQ17" s="14"/>
      <c r="BR17" s="4"/>
      <c r="BS17" s="4"/>
      <c r="BT17" s="4"/>
    </row>
    <row r="18" spans="1:72" x14ac:dyDescent="0.25">
      <c r="C18" s="15"/>
      <c r="D18" s="18"/>
      <c r="E18" s="18"/>
      <c r="F18" s="5" t="s">
        <v>75</v>
      </c>
      <c r="G18" s="7" t="s">
        <v>87</v>
      </c>
      <c r="H18" s="7" t="s">
        <v>76</v>
      </c>
      <c r="AP18" s="19"/>
      <c r="AQ18" s="20"/>
      <c r="AZ18" s="13"/>
      <c r="BA18" s="13"/>
      <c r="BB18" s="13"/>
      <c r="BD18" s="13"/>
      <c r="BE18" s="13"/>
      <c r="BF18" s="13"/>
      <c r="BG18" s="13"/>
      <c r="BI18" s="13"/>
      <c r="BN18" s="21"/>
      <c r="BO18" s="21"/>
      <c r="BQ18" s="14"/>
    </row>
    <row r="19" spans="1:72" x14ac:dyDescent="0.25">
      <c r="A19" s="157"/>
      <c r="B19" s="24"/>
      <c r="C19" s="46"/>
      <c r="D19" s="23"/>
      <c r="E19" s="51"/>
      <c r="F19" s="91"/>
      <c r="G19" s="58"/>
      <c r="H19" s="58"/>
      <c r="AP19" s="19"/>
      <c r="AQ19" s="20"/>
      <c r="AZ19" s="13"/>
      <c r="BA19" s="13"/>
      <c r="BB19" s="13"/>
      <c r="BD19" s="13"/>
      <c r="BE19" s="13"/>
      <c r="BF19" s="13"/>
      <c r="BG19" s="13"/>
      <c r="BI19" s="13"/>
      <c r="BN19" s="21"/>
      <c r="BO19" s="21"/>
      <c r="BQ19" s="14"/>
    </row>
    <row r="20" spans="1:72" x14ac:dyDescent="0.25">
      <c r="A20" s="157"/>
      <c r="B20" s="24"/>
      <c r="C20" s="24"/>
      <c r="D20" s="23"/>
      <c r="E20" s="23"/>
      <c r="F20" s="91"/>
      <c r="G20" s="155"/>
      <c r="H20" s="155"/>
      <c r="AP20" s="19"/>
      <c r="AQ20" s="20"/>
      <c r="AZ20" s="13"/>
      <c r="BA20" s="13"/>
      <c r="BB20" s="13"/>
      <c r="BD20" s="13"/>
      <c r="BE20" s="13"/>
      <c r="BF20" s="13"/>
      <c r="BG20" s="13"/>
      <c r="BI20" s="13"/>
      <c r="BN20" s="21"/>
      <c r="BO20" s="21"/>
      <c r="BQ20" s="14"/>
    </row>
    <row r="21" spans="1:72" x14ac:dyDescent="0.25">
      <c r="B21" s="54"/>
      <c r="C21" s="54"/>
      <c r="D21" s="23"/>
      <c r="E21" s="23"/>
      <c r="F21" s="62"/>
      <c r="G21" s="58"/>
      <c r="H21" s="5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V21" s="21"/>
      <c r="W21" s="21"/>
      <c r="X21" s="21"/>
      <c r="Y21" s="21"/>
      <c r="Z21" s="21"/>
      <c r="AE21" s="21"/>
      <c r="AF21" s="21"/>
      <c r="AG21" s="21"/>
      <c r="AH21" s="21"/>
      <c r="AI21" s="21"/>
      <c r="AJ21" s="21"/>
      <c r="AM21" s="21"/>
      <c r="AN21" s="21"/>
      <c r="AO21" s="21"/>
      <c r="AP21" s="19"/>
      <c r="AQ21" s="20"/>
      <c r="AS21" s="21"/>
      <c r="AT21" s="21"/>
      <c r="AU21" s="21"/>
      <c r="AV21" s="21"/>
      <c r="AW21" s="21"/>
      <c r="AX21" s="21"/>
      <c r="AY21" s="21"/>
      <c r="AZ21" s="13"/>
      <c r="BA21" s="13"/>
      <c r="BB21" s="13"/>
      <c r="BD21" s="13"/>
      <c r="BE21" s="13"/>
      <c r="BF21" s="13"/>
      <c r="BG21" s="13"/>
      <c r="BI21" s="13"/>
      <c r="BL21" s="21"/>
      <c r="BM21" s="21"/>
      <c r="BN21" s="21"/>
      <c r="BO21" s="21"/>
      <c r="BQ21" s="14"/>
      <c r="BR21" s="21"/>
      <c r="BS21" s="21"/>
      <c r="BT21" s="21"/>
    </row>
    <row r="22" spans="1:72" x14ac:dyDescent="0.25">
      <c r="C22" s="15"/>
      <c r="D22" s="18"/>
      <c r="E22" s="18"/>
      <c r="F22" s="18"/>
      <c r="G22" s="18"/>
      <c r="H22" s="18"/>
      <c r="AQ22" s="20"/>
      <c r="AR22" s="21"/>
      <c r="BO22" s="21"/>
      <c r="BQ22" s="14"/>
    </row>
    <row r="23" spans="1:72" ht="7.5" customHeight="1" x14ac:dyDescent="0.25">
      <c r="C23" s="160"/>
      <c r="D23" s="28"/>
      <c r="E23" s="28"/>
      <c r="F23" s="28"/>
      <c r="G23" s="28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V23" s="21"/>
      <c r="W23" s="21"/>
      <c r="X23" s="21"/>
      <c r="Y23" s="21"/>
      <c r="Z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9"/>
      <c r="AQ23" s="20"/>
      <c r="AS23" s="21"/>
      <c r="AT23" s="21"/>
      <c r="AU23" s="21"/>
      <c r="AV23" s="21"/>
      <c r="AW23" s="21"/>
      <c r="AX23" s="21"/>
      <c r="AY23" s="21"/>
      <c r="AZ23" s="13"/>
      <c r="BA23" s="13"/>
      <c r="BB23" s="13"/>
      <c r="BD23" s="13"/>
      <c r="BE23" s="13"/>
      <c r="BF23" s="13"/>
      <c r="BG23" s="13"/>
      <c r="BI23" s="13"/>
      <c r="BL23" s="21"/>
      <c r="BM23" s="21"/>
      <c r="BN23" s="21"/>
      <c r="BO23" s="21"/>
      <c r="BQ23" s="14"/>
      <c r="BR23" s="21"/>
      <c r="BS23" s="21"/>
      <c r="BT23" s="21"/>
    </row>
    <row r="24" spans="1:72" ht="7.5" customHeight="1" x14ac:dyDescent="0.25">
      <c r="C24" s="15"/>
      <c r="D24" s="18"/>
      <c r="E24" s="18"/>
      <c r="F24" s="18"/>
      <c r="G24" s="18"/>
      <c r="H24" s="1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V24" s="21"/>
      <c r="W24" s="21"/>
      <c r="X24" s="21"/>
      <c r="Y24" s="21"/>
      <c r="Z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19"/>
      <c r="AQ24" s="20"/>
      <c r="AS24" s="21"/>
      <c r="AT24" s="21"/>
      <c r="AU24" s="21"/>
      <c r="AV24" s="21"/>
      <c r="AW24" s="21"/>
      <c r="AX24" s="21"/>
      <c r="AY24" s="21"/>
      <c r="AZ24" s="13"/>
      <c r="BA24" s="13"/>
      <c r="BB24" s="13"/>
      <c r="BD24" s="13"/>
      <c r="BE24" s="13"/>
      <c r="BF24" s="13"/>
      <c r="BG24" s="13"/>
      <c r="BI24" s="13"/>
      <c r="BL24" s="21"/>
      <c r="BM24" s="21"/>
      <c r="BN24" s="21"/>
      <c r="BO24" s="21"/>
      <c r="BQ24" s="14"/>
      <c r="BR24" s="21"/>
      <c r="BS24" s="21"/>
      <c r="BT24" s="21"/>
    </row>
    <row r="25" spans="1:72" ht="23.25" x14ac:dyDescent="0.25">
      <c r="C25" s="15"/>
      <c r="D25" s="18"/>
      <c r="E25" s="18"/>
      <c r="F25" s="168" t="s">
        <v>79</v>
      </c>
      <c r="H25" s="18"/>
      <c r="AQ25" s="20"/>
      <c r="AR25" s="21"/>
      <c r="BO25" s="21"/>
      <c r="BQ25" s="14"/>
    </row>
    <row r="26" spans="1:72" ht="16.5" customHeight="1" x14ac:dyDescent="0.25">
      <c r="C26" s="15"/>
      <c r="D26" s="18"/>
      <c r="E26" s="18"/>
      <c r="F26" s="18"/>
      <c r="G26" s="26"/>
      <c r="H26" s="18"/>
      <c r="AQ26" s="20"/>
      <c r="AR26" s="21"/>
      <c r="BO26" s="21"/>
      <c r="BQ26" s="14"/>
    </row>
    <row r="27" spans="1:72" s="15" customFormat="1" x14ac:dyDescent="0.25">
      <c r="C27" s="4"/>
      <c r="D27" s="4"/>
      <c r="E27" s="4"/>
      <c r="F27" s="5" t="s">
        <v>77</v>
      </c>
      <c r="G27" s="198" t="s">
        <v>3</v>
      </c>
      <c r="H27" s="6" t="s">
        <v>7</v>
      </c>
      <c r="I27" s="198" t="s">
        <v>4</v>
      </c>
      <c r="J27" s="6" t="s">
        <v>6</v>
      </c>
      <c r="K27" s="198" t="s">
        <v>5</v>
      </c>
      <c r="L27" s="6" t="s">
        <v>56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9"/>
      <c r="AQ27" s="20"/>
      <c r="AR27" s="21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21"/>
      <c r="BP27" s="4"/>
      <c r="BQ27" s="4"/>
      <c r="BR27" s="4"/>
      <c r="BS27" s="4"/>
      <c r="BT27" s="4"/>
    </row>
    <row r="28" spans="1:72" s="15" customFormat="1" x14ac:dyDescent="0.25">
      <c r="A28" s="157"/>
      <c r="B28" s="142"/>
      <c r="C28" s="142"/>
      <c r="D28" s="24"/>
      <c r="E28" s="24"/>
      <c r="F28" s="35"/>
      <c r="G28" s="101"/>
      <c r="H28" s="200"/>
      <c r="I28" s="24"/>
      <c r="J28" s="24"/>
      <c r="K28" s="24"/>
      <c r="L28" s="2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5" customFormat="1" x14ac:dyDescent="0.25">
      <c r="A29" s="157"/>
      <c r="B29" s="142"/>
      <c r="C29" s="142"/>
      <c r="D29" s="23"/>
      <c r="E29" s="24"/>
      <c r="F29" s="35"/>
      <c r="G29" s="101"/>
      <c r="H29" s="200"/>
      <c r="I29" s="24"/>
      <c r="J29" s="24"/>
      <c r="K29" s="24"/>
      <c r="L29" s="2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15" customFormat="1" x14ac:dyDescent="0.25">
      <c r="C30" s="21"/>
      <c r="D30" s="21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15" customFormat="1" x14ac:dyDescent="0.25">
      <c r="C31" s="21"/>
      <c r="D31" s="21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5" customFormat="1" x14ac:dyDescent="0.25">
      <c r="C32" s="21"/>
      <c r="D32" s="21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3:72" s="15" customFormat="1" x14ac:dyDescent="0.25">
      <c r="C33" s="21"/>
      <c r="D33" s="21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3:72" s="15" customFormat="1" x14ac:dyDescent="0.25">
      <c r="C34" s="21"/>
      <c r="D34" s="21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3:72" s="15" customFormat="1" x14ac:dyDescent="0.25">
      <c r="C35" s="21"/>
      <c r="D35" s="21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3:72" s="15" customFormat="1" x14ac:dyDescent="0.25">
      <c r="C36" s="21"/>
      <c r="D36" s="21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3:72" s="15" customFormat="1" x14ac:dyDescent="0.25">
      <c r="C37" s="21"/>
      <c r="D37" s="21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3:72" s="15" customFormat="1" x14ac:dyDescent="0.25">
      <c r="C38" s="21"/>
      <c r="D38" s="21"/>
      <c r="E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3:72" s="15" customFormat="1" x14ac:dyDescent="0.25">
      <c r="C39" s="21"/>
      <c r="D39" s="21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3:72" s="15" customFormat="1" x14ac:dyDescent="0.25">
      <c r="C40" s="21"/>
      <c r="D40" s="21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3:72" s="15" customFormat="1" x14ac:dyDescent="0.25">
      <c r="C41" s="21"/>
      <c r="D41" s="21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3:72" s="15" customFormat="1" x14ac:dyDescent="0.25">
      <c r="C42" s="21"/>
      <c r="D42" s="21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3:72" s="15" customFormat="1" x14ac:dyDescent="0.25">
      <c r="C43" s="21"/>
      <c r="D43" s="21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3:72" s="15" customFormat="1" x14ac:dyDescent="0.25">
      <c r="C44" s="21"/>
      <c r="D44" s="21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3:72" s="15" customFormat="1" x14ac:dyDescent="0.25">
      <c r="C45" s="21"/>
      <c r="D45" s="21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3:72" s="15" customFormat="1" x14ac:dyDescent="0.25">
      <c r="C46" s="21"/>
      <c r="D46" s="21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3:72" s="15" customFormat="1" x14ac:dyDescent="0.25">
      <c r="C47" s="21"/>
      <c r="D47" s="21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3:72" s="15" customFormat="1" x14ac:dyDescent="0.25">
      <c r="C48" s="21"/>
      <c r="D48" s="21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3:72" s="15" customFormat="1" x14ac:dyDescent="0.25">
      <c r="C49" s="21"/>
      <c r="D49" s="21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3:72" s="15" customFormat="1" x14ac:dyDescent="0.25">
      <c r="C50" s="21"/>
      <c r="D50" s="21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3:72" s="15" customFormat="1" x14ac:dyDescent="0.25">
      <c r="C51" s="21"/>
      <c r="D51" s="21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3:72" s="15" customFormat="1" x14ac:dyDescent="0.25">
      <c r="C52" s="21"/>
      <c r="D52" s="21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3:72" s="15" customFormat="1" x14ac:dyDescent="0.25">
      <c r="C53" s="21"/>
      <c r="D53" s="21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3:72" s="15" customFormat="1" x14ac:dyDescent="0.25">
      <c r="C54" s="21"/>
      <c r="D54" s="21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3:72" s="15" customFormat="1" x14ac:dyDescent="0.25">
      <c r="C55" s="21"/>
      <c r="D55" s="21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3:72" s="15" customFormat="1" x14ac:dyDescent="0.25">
      <c r="C56" s="21"/>
      <c r="D56" s="21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3:72" s="15" customFormat="1" x14ac:dyDescent="0.25">
      <c r="C57" s="21"/>
      <c r="D57" s="21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3:72" s="15" customFormat="1" x14ac:dyDescent="0.25">
      <c r="C58" s="21"/>
      <c r="D58" s="21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3:72" s="15" customFormat="1" x14ac:dyDescent="0.25">
      <c r="C59" s="21"/>
      <c r="D59" s="21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3:72" s="15" customFormat="1" x14ac:dyDescent="0.25">
      <c r="C60" s="21"/>
      <c r="D60" s="21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3:72" s="15" customFormat="1" x14ac:dyDescent="0.25">
      <c r="C61" s="21"/>
      <c r="D61" s="21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3:72" s="15" customFormat="1" x14ac:dyDescent="0.25">
      <c r="C62" s="21"/>
      <c r="D62" s="21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3:72" s="15" customFormat="1" x14ac:dyDescent="0.25">
      <c r="C63" s="21"/>
      <c r="D63" s="21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3:72" s="15" customFormat="1" x14ac:dyDescent="0.25">
      <c r="C64" s="21"/>
      <c r="D64" s="21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3:72" s="15" customFormat="1" x14ac:dyDescent="0.25">
      <c r="C65" s="21"/>
      <c r="D65" s="21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3:72" s="15" customFormat="1" x14ac:dyDescent="0.25">
      <c r="C66" s="21"/>
      <c r="D66" s="21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3:72" s="15" customFormat="1" x14ac:dyDescent="0.25">
      <c r="C67" s="21"/>
      <c r="D67" s="21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3:72" s="15" customFormat="1" x14ac:dyDescent="0.25">
      <c r="C68" s="21"/>
      <c r="D68" s="21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3:72" s="15" customFormat="1" x14ac:dyDescent="0.25">
      <c r="C69" s="21"/>
      <c r="D69" s="21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3:72" s="15" customFormat="1" x14ac:dyDescent="0.25">
      <c r="C70" s="21"/>
      <c r="D70" s="21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3:72" s="15" customFormat="1" x14ac:dyDescent="0.25">
      <c r="C71" s="21"/>
      <c r="D71" s="21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3:72" s="15" customFormat="1" x14ac:dyDescent="0.25">
      <c r="C72" s="21"/>
      <c r="D72" s="21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3:72" s="15" customFormat="1" x14ac:dyDescent="0.25">
      <c r="C73" s="21"/>
      <c r="D73" s="21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3:72" s="15" customFormat="1" x14ac:dyDescent="0.25">
      <c r="C74" s="21"/>
      <c r="D74" s="21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3:72" s="15" customFormat="1" x14ac:dyDescent="0.25">
      <c r="C75" s="21"/>
      <c r="D75" s="21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3:72" s="15" customFormat="1" x14ac:dyDescent="0.25">
      <c r="C76" s="21"/>
      <c r="D76" s="21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3:72" s="15" customFormat="1" x14ac:dyDescent="0.25">
      <c r="C77" s="21"/>
      <c r="D77" s="21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3:72" s="15" customFormat="1" x14ac:dyDescent="0.25">
      <c r="C78" s="21"/>
      <c r="D78" s="21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3:72" s="15" customFormat="1" x14ac:dyDescent="0.25">
      <c r="C79" s="21"/>
      <c r="D79" s="21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3:72" s="15" customFormat="1" x14ac:dyDescent="0.25">
      <c r="C80" s="21"/>
      <c r="D80" s="21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3:72" s="15" customFormat="1" x14ac:dyDescent="0.25">
      <c r="C81" s="21"/>
      <c r="D81" s="21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3:72" s="15" customFormat="1" x14ac:dyDescent="0.25">
      <c r="C82" s="21"/>
      <c r="D82" s="21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3:72" s="15" customFormat="1" x14ac:dyDescent="0.25">
      <c r="C83" s="21"/>
      <c r="D83" s="21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3:72" s="15" customFormat="1" x14ac:dyDescent="0.25">
      <c r="C84" s="21"/>
      <c r="D84" s="21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3:72" s="15" customFormat="1" x14ac:dyDescent="0.25">
      <c r="C85" s="21"/>
      <c r="D85" s="21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3:72" s="15" customFormat="1" x14ac:dyDescent="0.25">
      <c r="C86" s="21"/>
      <c r="D86" s="21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3:72" s="15" customFormat="1" x14ac:dyDescent="0.25">
      <c r="C87" s="21"/>
      <c r="D87" s="21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3:72" s="15" customFormat="1" x14ac:dyDescent="0.25">
      <c r="C88" s="21"/>
      <c r="D88" s="21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3:72" s="15" customFormat="1" x14ac:dyDescent="0.25">
      <c r="C89" s="21"/>
      <c r="D89" s="21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3:72" s="15" customFormat="1" x14ac:dyDescent="0.25">
      <c r="C90" s="21"/>
      <c r="D90" s="21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3:72" s="15" customFormat="1" x14ac:dyDescent="0.25">
      <c r="C91" s="21"/>
      <c r="D91" s="21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3:72" s="15" customFormat="1" x14ac:dyDescent="0.25">
      <c r="C92" s="21"/>
      <c r="D92" s="21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3:72" s="15" customFormat="1" x14ac:dyDescent="0.25">
      <c r="C93" s="21"/>
      <c r="D93" s="21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3:72" s="15" customFormat="1" x14ac:dyDescent="0.25">
      <c r="C94" s="21"/>
      <c r="D94" s="21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3:72" s="15" customFormat="1" x14ac:dyDescent="0.25">
      <c r="C95" s="21"/>
      <c r="D95" s="21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3:72" s="15" customFormat="1" x14ac:dyDescent="0.25">
      <c r="C96" s="21"/>
      <c r="D96" s="21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3:72" s="15" customFormat="1" x14ac:dyDescent="0.25">
      <c r="C97" s="21"/>
      <c r="D97" s="21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3:72" s="15" customFormat="1" x14ac:dyDescent="0.25">
      <c r="C98" s="21"/>
      <c r="D98" s="21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3:72" s="15" customFormat="1" x14ac:dyDescent="0.25">
      <c r="C99" s="21"/>
      <c r="D99" s="21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3:72" s="15" customFormat="1" x14ac:dyDescent="0.25">
      <c r="C100" s="21"/>
      <c r="D100" s="21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3:72" s="15" customFormat="1" x14ac:dyDescent="0.25">
      <c r="C101" s="21"/>
      <c r="D101" s="21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3:72" s="15" customFormat="1" x14ac:dyDescent="0.25">
      <c r="C102" s="21"/>
      <c r="D102" s="21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3:72" s="15" customFormat="1" x14ac:dyDescent="0.25">
      <c r="C103" s="21"/>
      <c r="D103" s="21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3:72" s="15" customFormat="1" x14ac:dyDescent="0.25">
      <c r="C104" s="21"/>
      <c r="D104" s="21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3:72" s="15" customFormat="1" x14ac:dyDescent="0.25">
      <c r="C105" s="21"/>
      <c r="D105" s="21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3:72" s="15" customFormat="1" x14ac:dyDescent="0.25">
      <c r="C106" s="21"/>
      <c r="D106" s="21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3:72" s="15" customFormat="1" x14ac:dyDescent="0.25">
      <c r="C107" s="21"/>
      <c r="D107" s="21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3:72" s="15" customFormat="1" x14ac:dyDescent="0.25">
      <c r="C108" s="21"/>
      <c r="D108" s="21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3:72" s="15" customFormat="1" x14ac:dyDescent="0.25">
      <c r="C109" s="21"/>
      <c r="D109" s="21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3:72" s="15" customFormat="1" x14ac:dyDescent="0.25">
      <c r="C110" s="21"/>
      <c r="D110" s="21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3:72" s="15" customFormat="1" x14ac:dyDescent="0.25">
      <c r="C111" s="21"/>
      <c r="D111" s="21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3:72" s="15" customFormat="1" x14ac:dyDescent="0.25">
      <c r="C112" s="21"/>
      <c r="D112" s="21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3:72" s="15" customFormat="1" x14ac:dyDescent="0.25">
      <c r="C113" s="21"/>
      <c r="D113" s="21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3:72" s="15" customFormat="1" x14ac:dyDescent="0.25">
      <c r="C114" s="21"/>
      <c r="D114" s="21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3:72" s="15" customFormat="1" x14ac:dyDescent="0.25">
      <c r="C115" s="21"/>
      <c r="D115" s="21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3:72" s="15" customFormat="1" x14ac:dyDescent="0.25">
      <c r="C116" s="21"/>
      <c r="D116" s="21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3:72" s="15" customFormat="1" x14ac:dyDescent="0.25">
      <c r="C117" s="21"/>
      <c r="D117" s="21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3:72" s="15" customFormat="1" x14ac:dyDescent="0.25">
      <c r="C118" s="21"/>
      <c r="D118" s="21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3:72" s="15" customFormat="1" x14ac:dyDescent="0.25">
      <c r="C119" s="21"/>
      <c r="D119" s="21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3:72" s="15" customFormat="1" x14ac:dyDescent="0.25">
      <c r="C120" s="21"/>
      <c r="D120" s="21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3:72" s="15" customFormat="1" x14ac:dyDescent="0.25">
      <c r="C121" s="21"/>
      <c r="D121" s="21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3:72" s="15" customFormat="1" x14ac:dyDescent="0.25">
      <c r="C122" s="21"/>
      <c r="D122" s="21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3:72" s="15" customFormat="1" x14ac:dyDescent="0.25">
      <c r="C123" s="21"/>
      <c r="D123" s="21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3:72" s="15" customFormat="1" x14ac:dyDescent="0.25">
      <c r="C124" s="21"/>
      <c r="D124" s="21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3:72" s="15" customFormat="1" x14ac:dyDescent="0.25">
      <c r="C125" s="21"/>
      <c r="D125" s="21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3:72" s="15" customFormat="1" x14ac:dyDescent="0.25">
      <c r="C126" s="21"/>
      <c r="D126" s="21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3:72" s="15" customFormat="1" x14ac:dyDescent="0.25">
      <c r="C127" s="21"/>
      <c r="D127" s="21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3:72" s="15" customFormat="1" x14ac:dyDescent="0.25">
      <c r="C128" s="21"/>
      <c r="D128" s="21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3:72" s="15" customFormat="1" x14ac:dyDescent="0.25">
      <c r="C129" s="21"/>
      <c r="D129" s="21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3:72" s="15" customFormat="1" x14ac:dyDescent="0.25">
      <c r="C130" s="21"/>
      <c r="D130" s="21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3:72" s="15" customFormat="1" x14ac:dyDescent="0.25">
      <c r="C131" s="21"/>
      <c r="D131" s="21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  <row r="132" spans="3:72" s="15" customFormat="1" x14ac:dyDescent="0.25">
      <c r="C132" s="21"/>
      <c r="D132" s="21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</sheetData>
  <mergeCells count="7">
    <mergeCell ref="BJ4:BQ4"/>
    <mergeCell ref="BE4:BI4"/>
    <mergeCell ref="U4:AO4"/>
    <mergeCell ref="AP4:AQ4"/>
    <mergeCell ref="AR4:AS4"/>
    <mergeCell ref="AT4:AY4"/>
    <mergeCell ref="AZ4:BD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S144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4" sqref="E34"/>
    </sheetView>
  </sheetViews>
  <sheetFormatPr defaultColWidth="9.140625" defaultRowHeight="15" x14ac:dyDescent="0.25"/>
  <cols>
    <col min="1" max="1" width="10.28515625" style="4" hidden="1" customWidth="1"/>
    <col min="2" max="2" width="12.28515625" style="21" bestFit="1" customWidth="1"/>
    <col min="3" max="3" width="8.7109375" style="21" bestFit="1" customWidth="1"/>
    <col min="4" max="4" width="29" style="4" customWidth="1"/>
    <col min="5" max="5" width="51" style="1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9.140625" style="4" customWidth="1"/>
    <col min="43" max="43" width="14.85546875" style="4" customWidth="1"/>
    <col min="44" max="44" width="17.140625" style="4" customWidth="1"/>
    <col min="45" max="45" width="11.5703125" style="4" bestFit="1" customWidth="1"/>
    <col min="46" max="46" width="11.140625" style="4" bestFit="1" customWidth="1"/>
    <col min="47" max="47" width="11.42578125" style="4" bestFit="1" customWidth="1"/>
    <col min="48" max="48" width="8.28515625" style="4" bestFit="1" customWidth="1"/>
    <col min="49" max="49" width="11.42578125" style="4" bestFit="1" customWidth="1"/>
    <col min="50" max="50" width="8.85546875" style="4" bestFit="1" customWidth="1"/>
    <col min="51" max="51" width="7" style="4" bestFit="1" customWidth="1"/>
    <col min="52" max="52" width="17.85546875" style="4" customWidth="1"/>
    <col min="53" max="53" width="6.85546875" style="4" bestFit="1" customWidth="1"/>
    <col min="54" max="54" width="6.7109375" style="4" customWidth="1"/>
    <col min="55" max="55" width="7.5703125" style="4" bestFit="1" customWidth="1"/>
    <col min="56" max="56" width="7" style="4" bestFit="1" customWidth="1"/>
    <col min="57" max="57" width="20.140625" style="4" bestFit="1" customWidth="1"/>
    <col min="58" max="58" width="6.85546875" style="4" bestFit="1" customWidth="1"/>
    <col min="59" max="59" width="5.5703125" style="4" bestFit="1" customWidth="1"/>
    <col min="60" max="60" width="7.5703125" style="4" bestFit="1" customWidth="1"/>
    <col min="61" max="61" width="17.85546875" style="4" customWidth="1"/>
    <col min="62" max="62" width="10.42578125" style="4" bestFit="1" customWidth="1"/>
    <col min="63" max="63" width="12" style="4" bestFit="1" customWidth="1"/>
    <col min="64" max="65" width="14.42578125" style="4" bestFit="1" customWidth="1"/>
    <col min="66" max="66" width="13.28515625" style="4" bestFit="1" customWidth="1"/>
    <col min="67" max="67" width="16.28515625" style="4" bestFit="1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16384" width="9.140625" style="4"/>
  </cols>
  <sheetData>
    <row r="2" spans="1:71" ht="23.25" x14ac:dyDescent="0.25">
      <c r="E2" s="2" t="s">
        <v>81</v>
      </c>
      <c r="G2" s="2"/>
      <c r="H2" s="3"/>
    </row>
    <row r="3" spans="1:71" ht="20.25" x14ac:dyDescent="0.25">
      <c r="E3" s="55">
        <v>41927</v>
      </c>
    </row>
    <row r="4" spans="1:71" ht="15.75" customHeight="1" x14ac:dyDescent="0.25">
      <c r="D4" s="16" t="s">
        <v>17</v>
      </c>
      <c r="F4" s="65"/>
      <c r="G4" s="65"/>
      <c r="H4" s="66" t="s">
        <v>15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09" t="s">
        <v>16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 t="s">
        <v>85</v>
      </c>
      <c r="AP4" s="210"/>
      <c r="AQ4" s="211" t="s">
        <v>19</v>
      </c>
      <c r="AR4" s="211"/>
      <c r="AS4" s="212" t="s">
        <v>91</v>
      </c>
      <c r="AT4" s="212"/>
      <c r="AU4" s="212"/>
      <c r="AV4" s="212"/>
      <c r="AW4" s="212"/>
      <c r="AX4" s="212"/>
      <c r="AY4" s="213" t="s">
        <v>22</v>
      </c>
      <c r="AZ4" s="213"/>
      <c r="BA4" s="213"/>
      <c r="BB4" s="213"/>
      <c r="BC4" s="213"/>
      <c r="BD4" s="208" t="s">
        <v>28</v>
      </c>
      <c r="BE4" s="208"/>
      <c r="BF4" s="208"/>
      <c r="BG4" s="208"/>
      <c r="BH4" s="208"/>
      <c r="BI4" s="207" t="s">
        <v>34</v>
      </c>
      <c r="BJ4" s="207"/>
      <c r="BK4" s="207"/>
      <c r="BL4" s="207"/>
      <c r="BM4" s="207"/>
      <c r="BN4" s="207"/>
      <c r="BO4" s="207"/>
      <c r="BP4" s="207"/>
    </row>
    <row r="5" spans="1:71" x14ac:dyDescent="0.25">
      <c r="B5" s="17" t="s">
        <v>0</v>
      </c>
      <c r="C5" s="22" t="s">
        <v>83</v>
      </c>
      <c r="D5" s="17" t="s">
        <v>2</v>
      </c>
      <c r="E5" s="5" t="s">
        <v>1</v>
      </c>
      <c r="F5" s="6" t="s">
        <v>3</v>
      </c>
      <c r="G5" s="6" t="s">
        <v>7</v>
      </c>
      <c r="H5" s="6" t="s">
        <v>4</v>
      </c>
      <c r="I5" s="6" t="s">
        <v>6</v>
      </c>
      <c r="J5" s="6" t="s">
        <v>5</v>
      </c>
      <c r="K5" s="6" t="s">
        <v>56</v>
      </c>
      <c r="L5" s="6" t="s">
        <v>54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80</v>
      </c>
      <c r="S5" s="6" t="s">
        <v>61</v>
      </c>
      <c r="T5" s="7" t="s">
        <v>8</v>
      </c>
      <c r="U5" s="7" t="s">
        <v>47</v>
      </c>
      <c r="V5" s="7" t="s">
        <v>9</v>
      </c>
      <c r="W5" s="7" t="s">
        <v>36</v>
      </c>
      <c r="X5" s="7" t="s">
        <v>10</v>
      </c>
      <c r="Y5" s="7" t="s">
        <v>48</v>
      </c>
      <c r="Z5" s="7" t="s">
        <v>11</v>
      </c>
      <c r="AA5" s="7" t="s">
        <v>53</v>
      </c>
      <c r="AB5" s="7" t="s">
        <v>12</v>
      </c>
      <c r="AC5" s="7" t="s">
        <v>52</v>
      </c>
      <c r="AD5" s="7" t="s">
        <v>49</v>
      </c>
      <c r="AE5" s="7" t="s">
        <v>14</v>
      </c>
      <c r="AF5" s="7" t="s">
        <v>37</v>
      </c>
      <c r="AG5" s="7" t="s">
        <v>50</v>
      </c>
      <c r="AH5" s="7" t="s">
        <v>51</v>
      </c>
      <c r="AI5" s="7" t="s">
        <v>46</v>
      </c>
      <c r="AJ5" s="7" t="s">
        <v>38</v>
      </c>
      <c r="AK5" s="7" t="s">
        <v>86</v>
      </c>
      <c r="AL5" s="7" t="s">
        <v>39</v>
      </c>
      <c r="AM5" s="7" t="s">
        <v>40</v>
      </c>
      <c r="AN5" s="7" t="s">
        <v>13</v>
      </c>
      <c r="AO5" s="11" t="s">
        <v>20</v>
      </c>
      <c r="AP5" s="11" t="s">
        <v>21</v>
      </c>
      <c r="AQ5" s="8" t="s">
        <v>18</v>
      </c>
      <c r="AR5" s="8" t="s">
        <v>55</v>
      </c>
      <c r="AS5" s="70" t="s">
        <v>23</v>
      </c>
      <c r="AT5" s="70" t="s">
        <v>24</v>
      </c>
      <c r="AU5" s="70" t="s">
        <v>25</v>
      </c>
      <c r="AV5" s="70" t="s">
        <v>92</v>
      </c>
      <c r="AW5" s="70" t="s">
        <v>25</v>
      </c>
      <c r="AX5" s="70" t="s">
        <v>93</v>
      </c>
      <c r="AY5" s="9" t="s">
        <v>23</v>
      </c>
      <c r="AZ5" s="9" t="s">
        <v>24</v>
      </c>
      <c r="BA5" s="9" t="s">
        <v>25</v>
      </c>
      <c r="BB5" s="9" t="s">
        <v>26</v>
      </c>
      <c r="BC5" s="9" t="s">
        <v>27</v>
      </c>
      <c r="BD5" s="10" t="s">
        <v>23</v>
      </c>
      <c r="BE5" s="10" t="s">
        <v>24</v>
      </c>
      <c r="BF5" s="10" t="s">
        <v>25</v>
      </c>
      <c r="BG5" s="10" t="s">
        <v>26</v>
      </c>
      <c r="BH5" s="10" t="s">
        <v>27</v>
      </c>
      <c r="BI5" s="11" t="s">
        <v>45</v>
      </c>
      <c r="BJ5" s="12" t="s">
        <v>29</v>
      </c>
      <c r="BK5" s="12" t="s">
        <v>30</v>
      </c>
      <c r="BL5" s="12" t="s">
        <v>31</v>
      </c>
      <c r="BM5" s="12" t="s">
        <v>32</v>
      </c>
      <c r="BN5" s="12" t="s">
        <v>33</v>
      </c>
      <c r="BO5" s="12" t="s">
        <v>35</v>
      </c>
      <c r="BP5" s="12" t="s">
        <v>44</v>
      </c>
      <c r="BQ5" s="12" t="s">
        <v>41</v>
      </c>
      <c r="BR5" s="12" t="s">
        <v>42</v>
      </c>
      <c r="BS5" s="12" t="s">
        <v>43</v>
      </c>
    </row>
    <row r="6" spans="1:71" s="1" customFormat="1" ht="30" x14ac:dyDescent="0.25">
      <c r="A6" s="92">
        <v>41913</v>
      </c>
      <c r="B6" s="59" t="s">
        <v>111</v>
      </c>
      <c r="C6" s="73" t="s">
        <v>73</v>
      </c>
      <c r="D6" s="73" t="s">
        <v>90</v>
      </c>
      <c r="E6" s="94" t="s">
        <v>112</v>
      </c>
      <c r="F6" s="35" t="s">
        <v>115</v>
      </c>
      <c r="G6" s="78" t="s">
        <v>114</v>
      </c>
      <c r="H6" s="35" t="s">
        <v>65</v>
      </c>
      <c r="I6" s="35" t="s">
        <v>119</v>
      </c>
      <c r="J6" s="44" t="s">
        <v>120</v>
      </c>
      <c r="K6" s="45">
        <v>12065155020</v>
      </c>
      <c r="L6" s="69"/>
      <c r="M6" s="69"/>
      <c r="N6" s="69"/>
      <c r="O6" s="69"/>
      <c r="P6" s="69"/>
      <c r="Q6" s="69"/>
      <c r="R6" s="69"/>
      <c r="S6" s="69"/>
      <c r="T6" s="86"/>
      <c r="U6" s="68"/>
      <c r="V6" s="44"/>
      <c r="W6" s="68"/>
      <c r="X6" s="86"/>
      <c r="Y6" s="68"/>
      <c r="Z6" s="44" t="s">
        <v>116</v>
      </c>
      <c r="AA6" s="44" t="s">
        <v>117</v>
      </c>
      <c r="AB6" s="57"/>
      <c r="AC6" s="57"/>
      <c r="AD6" s="57"/>
      <c r="AE6" s="57"/>
      <c r="AF6" s="35" t="s">
        <v>118</v>
      </c>
      <c r="AG6" s="57"/>
      <c r="AH6" s="57"/>
      <c r="AI6" s="43"/>
      <c r="AJ6" s="57"/>
      <c r="AK6" s="57"/>
      <c r="AL6" s="57"/>
      <c r="AM6" s="57"/>
      <c r="AN6" s="86"/>
      <c r="AO6" s="58">
        <v>66</v>
      </c>
      <c r="AP6" s="42">
        <f>AO6/0.444</f>
        <v>148.64864864864865</v>
      </c>
      <c r="AQ6" s="95" t="s">
        <v>113</v>
      </c>
      <c r="AR6" s="96">
        <v>10038568738506</v>
      </c>
      <c r="AS6" s="72"/>
      <c r="AT6" s="72"/>
      <c r="AU6" s="72"/>
      <c r="AV6" s="50">
        <v>4.2300000000000004</v>
      </c>
      <c r="AW6" s="50">
        <v>5.8</v>
      </c>
      <c r="AX6" s="97"/>
      <c r="AY6" s="93">
        <f>4.25+(0.018*2)</f>
        <v>4.2859999999999996</v>
      </c>
      <c r="AZ6" s="93">
        <f>4.25+(0.018*2)</f>
        <v>4.2859999999999996</v>
      </c>
      <c r="BA6" s="93">
        <f>6+(0.018*4)</f>
        <v>6.0720000000000001</v>
      </c>
      <c r="BB6" s="93">
        <f t="shared" ref="BB6" si="0">(BA6*AZ6*AY6)/1728</f>
        <v>6.4549422055555541E-2</v>
      </c>
      <c r="BC6" s="93">
        <f>1.7+0.1</f>
        <v>1.8</v>
      </c>
      <c r="BD6" s="76">
        <f>18+(0.153*2)</f>
        <v>18.306000000000001</v>
      </c>
      <c r="BE6" s="76">
        <f>13.5+(0.153*2)</f>
        <v>13.805999999999999</v>
      </c>
      <c r="BF6" s="76">
        <f>6.25+(0.153*4)</f>
        <v>6.8620000000000001</v>
      </c>
      <c r="BG6" s="93">
        <f t="shared" ref="BG6" si="1">(BF6*BE6*BD6)/1728</f>
        <v>1.0036176783749999</v>
      </c>
      <c r="BH6" s="74">
        <f>(BC6*6)+0.25</f>
        <v>11.05</v>
      </c>
      <c r="BI6" s="53" t="s">
        <v>64</v>
      </c>
      <c r="BJ6" s="53">
        <v>12</v>
      </c>
      <c r="BK6" s="53">
        <v>6</v>
      </c>
      <c r="BL6" s="53">
        <v>6</v>
      </c>
      <c r="BM6" s="49">
        <f t="shared" ref="BM6" si="2">BJ6*BK6*BL6</f>
        <v>432</v>
      </c>
      <c r="BN6" s="49">
        <f t="shared" ref="BN6" si="3">(BH6*BK6*BL6)+50</f>
        <v>447.80000000000007</v>
      </c>
      <c r="BO6" s="53" t="s">
        <v>62</v>
      </c>
      <c r="BP6" s="49" t="s">
        <v>67</v>
      </c>
      <c r="BQ6" s="71"/>
      <c r="BR6" s="71"/>
      <c r="BS6" s="71"/>
    </row>
    <row r="7" spans="1:71" s="1" customFormat="1" ht="15" customHeight="1" x14ac:dyDescent="0.25">
      <c r="A7" s="92">
        <v>41913</v>
      </c>
      <c r="B7" s="59"/>
      <c r="C7" s="73"/>
      <c r="D7" s="73"/>
      <c r="E7" s="47"/>
      <c r="F7" s="46"/>
      <c r="G7" s="35"/>
      <c r="H7" s="57"/>
      <c r="I7" s="57"/>
      <c r="J7" s="44"/>
      <c r="K7" s="45"/>
      <c r="L7" s="69"/>
      <c r="M7" s="69"/>
      <c r="N7" s="69"/>
      <c r="O7" s="69"/>
      <c r="P7" s="69"/>
      <c r="Q7" s="69"/>
      <c r="R7" s="69"/>
      <c r="S7" s="69"/>
      <c r="T7" s="44"/>
      <c r="U7" s="68"/>
      <c r="V7" s="44"/>
      <c r="W7" s="68"/>
      <c r="X7" s="44"/>
      <c r="Y7" s="68"/>
      <c r="Z7" s="44"/>
      <c r="AA7" s="44"/>
      <c r="AB7" s="57"/>
      <c r="AC7" s="57"/>
      <c r="AD7" s="57"/>
      <c r="AE7" s="57"/>
      <c r="AF7" s="57"/>
      <c r="AG7" s="57"/>
      <c r="AH7" s="57"/>
      <c r="AI7" s="43"/>
      <c r="AJ7" s="57"/>
      <c r="AK7" s="57"/>
      <c r="AL7" s="57"/>
      <c r="AM7" s="57"/>
      <c r="AN7" s="44"/>
      <c r="AO7" s="58"/>
      <c r="AP7" s="42"/>
      <c r="AQ7" s="48"/>
      <c r="AR7" s="48"/>
      <c r="AS7" s="48"/>
      <c r="AT7" s="48"/>
      <c r="AU7" s="48"/>
      <c r="AV7" s="51"/>
      <c r="AW7" s="51"/>
      <c r="AX7" s="48"/>
      <c r="AY7" s="222"/>
      <c r="AZ7" s="223"/>
      <c r="BA7" s="223"/>
      <c r="BB7" s="223"/>
      <c r="BC7" s="224"/>
      <c r="BD7" s="76"/>
      <c r="BE7" s="76"/>
      <c r="BF7" s="76"/>
      <c r="BG7" s="93"/>
      <c r="BH7" s="53"/>
      <c r="BI7" s="60"/>
      <c r="BJ7" s="53"/>
      <c r="BK7" s="53"/>
      <c r="BL7" s="53"/>
      <c r="BM7" s="49"/>
      <c r="BN7" s="49"/>
      <c r="BO7" s="49"/>
      <c r="BP7" s="49"/>
      <c r="BQ7" s="71"/>
      <c r="BR7" s="71"/>
      <c r="BS7" s="71"/>
    </row>
    <row r="8" spans="1:71" s="21" customFormat="1" x14ac:dyDescent="0.25">
      <c r="B8" s="18"/>
      <c r="C8" s="18"/>
      <c r="D8" s="18"/>
      <c r="E8" s="18"/>
      <c r="F8" s="18"/>
      <c r="G8" s="14"/>
      <c r="H8" s="4"/>
      <c r="I8" s="4"/>
      <c r="J8" s="4"/>
      <c r="T8" s="4"/>
      <c r="Z8" s="4"/>
      <c r="AA8" s="4"/>
      <c r="AO8" s="19"/>
      <c r="AP8" s="20"/>
      <c r="AQ8" s="4"/>
      <c r="AY8" s="13"/>
      <c r="AZ8" s="13"/>
      <c r="BA8" s="13"/>
      <c r="BB8" s="4"/>
      <c r="BC8" s="13"/>
      <c r="BD8" s="13"/>
      <c r="BE8" s="13"/>
      <c r="BF8" s="13"/>
      <c r="BG8" s="4"/>
      <c r="BH8" s="13"/>
      <c r="BI8" s="4"/>
      <c r="BJ8" s="4"/>
      <c r="BO8" s="4"/>
      <c r="BP8" s="14"/>
    </row>
    <row r="9" spans="1:71" ht="7.5" customHeight="1" x14ac:dyDescent="0.25">
      <c r="B9" s="28"/>
      <c r="C9" s="28"/>
      <c r="D9" s="28"/>
      <c r="E9" s="28"/>
      <c r="F9" s="28"/>
      <c r="G9" s="28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9"/>
      <c r="U9" s="30"/>
      <c r="V9" s="30"/>
      <c r="W9" s="30"/>
      <c r="X9" s="30"/>
      <c r="Y9" s="30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32"/>
      <c r="AQ9" s="29"/>
      <c r="AR9" s="30"/>
      <c r="AS9" s="30"/>
      <c r="AT9" s="30"/>
      <c r="AU9" s="30"/>
      <c r="AV9" s="30"/>
      <c r="AW9" s="30"/>
      <c r="AX9" s="30"/>
      <c r="AY9" s="33"/>
      <c r="AZ9" s="33"/>
      <c r="BA9" s="33"/>
      <c r="BB9" s="29"/>
      <c r="BC9" s="33"/>
      <c r="BD9" s="33"/>
      <c r="BE9" s="33"/>
      <c r="BF9" s="33"/>
      <c r="BG9" s="29"/>
      <c r="BH9" s="33"/>
      <c r="BI9" s="29"/>
      <c r="BJ9" s="29"/>
      <c r="BK9" s="30"/>
      <c r="BL9" s="30"/>
      <c r="BM9" s="30"/>
      <c r="BN9" s="30"/>
      <c r="BO9" s="29"/>
      <c r="BP9" s="34"/>
      <c r="BQ9" s="30"/>
      <c r="BR9" s="21"/>
      <c r="BS9" s="21"/>
    </row>
    <row r="10" spans="1:71" ht="7.5" customHeight="1" x14ac:dyDescent="0.25">
      <c r="B10" s="18"/>
      <c r="C10" s="18"/>
      <c r="D10" s="18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U10" s="21"/>
      <c r="V10" s="21"/>
      <c r="W10" s="21"/>
      <c r="X10" s="21"/>
      <c r="Y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9"/>
      <c r="AP10" s="20"/>
      <c r="AR10" s="21"/>
      <c r="AS10" s="21"/>
      <c r="AT10" s="21"/>
      <c r="AU10" s="21"/>
      <c r="AV10" s="21"/>
      <c r="AW10" s="21"/>
      <c r="AX10" s="21"/>
      <c r="AY10" s="13"/>
      <c r="AZ10" s="13"/>
      <c r="BA10" s="13"/>
      <c r="BC10" s="13"/>
      <c r="BD10" s="13"/>
      <c r="BE10" s="13"/>
      <c r="BF10" s="13"/>
      <c r="BH10" s="13"/>
      <c r="BK10" s="21"/>
      <c r="BL10" s="21"/>
      <c r="BM10" s="21"/>
      <c r="BN10" s="21"/>
      <c r="BP10" s="14"/>
      <c r="BQ10" s="21"/>
      <c r="BR10" s="21"/>
      <c r="BS10" s="21"/>
    </row>
    <row r="11" spans="1:71" ht="23.25" x14ac:dyDescent="0.25">
      <c r="B11" s="18"/>
      <c r="C11" s="18"/>
      <c r="D11" s="18"/>
      <c r="E11" s="27" t="s">
        <v>74</v>
      </c>
      <c r="G11" s="18"/>
      <c r="U11" s="21"/>
      <c r="V11" s="21"/>
      <c r="W11" s="21"/>
      <c r="Y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9"/>
      <c r="AP11" s="20"/>
      <c r="AR11" s="21"/>
      <c r="AS11" s="21"/>
      <c r="AT11" s="21"/>
      <c r="AU11" s="21"/>
      <c r="AV11" s="21"/>
      <c r="AW11" s="21"/>
      <c r="AX11" s="21"/>
      <c r="AY11" s="13"/>
      <c r="AZ11" s="13"/>
      <c r="BA11" s="13"/>
      <c r="BC11" s="13"/>
      <c r="BD11" s="13"/>
      <c r="BE11" s="13"/>
      <c r="BF11" s="13"/>
      <c r="BH11" s="13"/>
      <c r="BK11" s="21"/>
      <c r="BL11" s="21"/>
      <c r="BM11" s="21"/>
      <c r="BN11" s="21"/>
      <c r="BP11" s="14"/>
      <c r="BQ11" s="21"/>
      <c r="BR11" s="21"/>
      <c r="BS11" s="21"/>
    </row>
    <row r="12" spans="1:71" s="21" customFormat="1" x14ac:dyDescent="0.25">
      <c r="B12" s="18"/>
      <c r="C12" s="18"/>
      <c r="D12" s="18"/>
      <c r="E12" s="18"/>
      <c r="F12" s="18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9"/>
      <c r="AP12" s="20"/>
      <c r="AQ12" s="4"/>
      <c r="AR12" s="4"/>
      <c r="AS12" s="4"/>
      <c r="AT12" s="4"/>
      <c r="AU12" s="4"/>
      <c r="AV12" s="4"/>
      <c r="AW12" s="4"/>
      <c r="AX12" s="4"/>
      <c r="AY12" s="13"/>
      <c r="AZ12" s="13"/>
      <c r="BA12" s="13"/>
      <c r="BB12" s="4"/>
      <c r="BC12" s="13"/>
      <c r="BD12" s="13"/>
      <c r="BE12" s="13"/>
      <c r="BF12" s="13"/>
      <c r="BG12" s="4"/>
      <c r="BH12" s="13"/>
      <c r="BI12" s="4"/>
      <c r="BJ12" s="4"/>
      <c r="BK12" s="4"/>
      <c r="BL12" s="4"/>
      <c r="BO12" s="4"/>
      <c r="BP12" s="14"/>
      <c r="BQ12" s="4"/>
      <c r="BR12" s="4"/>
      <c r="BS12" s="4"/>
    </row>
    <row r="13" spans="1:71" x14ac:dyDescent="0.25">
      <c r="B13" s="18"/>
      <c r="C13" s="18"/>
      <c r="D13" s="18"/>
      <c r="E13" s="5" t="s">
        <v>75</v>
      </c>
      <c r="F13" s="7" t="s">
        <v>87</v>
      </c>
      <c r="G13" s="7" t="s">
        <v>76</v>
      </c>
      <c r="AO13" s="19"/>
      <c r="AP13" s="20"/>
      <c r="AY13" s="13"/>
      <c r="AZ13" s="13"/>
      <c r="BA13" s="13"/>
      <c r="BC13" s="13"/>
      <c r="BD13" s="13"/>
      <c r="BE13" s="13"/>
      <c r="BF13" s="13"/>
      <c r="BH13" s="13"/>
      <c r="BM13" s="21"/>
      <c r="BN13" s="21"/>
      <c r="BP13" s="14"/>
    </row>
    <row r="14" spans="1:71" x14ac:dyDescent="0.25">
      <c r="A14" s="92">
        <v>41913</v>
      </c>
      <c r="B14" s="90"/>
      <c r="C14" s="23"/>
      <c r="D14" s="51"/>
      <c r="E14" s="91"/>
      <c r="F14" s="58"/>
      <c r="G14" s="58"/>
      <c r="AO14" s="19"/>
      <c r="AP14" s="20"/>
      <c r="AY14" s="13"/>
      <c r="AZ14" s="13"/>
      <c r="BA14" s="13"/>
      <c r="BC14" s="13"/>
      <c r="BD14" s="13"/>
      <c r="BE14" s="13"/>
      <c r="BF14" s="13"/>
      <c r="BH14" s="13"/>
      <c r="BM14" s="21"/>
      <c r="BN14" s="21"/>
      <c r="BP14" s="14"/>
    </row>
    <row r="15" spans="1:71" x14ac:dyDescent="0.25">
      <c r="B15" s="23"/>
      <c r="C15" s="23"/>
      <c r="D15" s="23"/>
      <c r="E15" s="91"/>
      <c r="F15" s="58"/>
      <c r="G15" s="58"/>
      <c r="AO15" s="19"/>
      <c r="AP15" s="20"/>
      <c r="AY15" s="13"/>
      <c r="AZ15" s="13"/>
      <c r="BA15" s="13"/>
      <c r="BC15" s="13"/>
      <c r="BD15" s="13"/>
      <c r="BE15" s="13"/>
      <c r="BF15" s="13"/>
      <c r="BH15" s="13"/>
      <c r="BM15" s="21"/>
      <c r="BN15" s="21"/>
      <c r="BP15" s="14"/>
    </row>
    <row r="16" spans="1:71" x14ac:dyDescent="0.25">
      <c r="B16" s="23"/>
      <c r="C16" s="23"/>
      <c r="D16" s="23"/>
      <c r="E16" s="62"/>
      <c r="F16" s="58"/>
      <c r="G16" s="5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  <c r="V16" s="21"/>
      <c r="W16" s="21"/>
      <c r="X16" s="21"/>
      <c r="Y16" s="21"/>
      <c r="AD16" s="21"/>
      <c r="AE16" s="21"/>
      <c r="AF16" s="21"/>
      <c r="AG16" s="21"/>
      <c r="AH16" s="21"/>
      <c r="AI16" s="21"/>
      <c r="AL16" s="21"/>
      <c r="AM16" s="21"/>
      <c r="AN16" s="21"/>
      <c r="AO16" s="19"/>
      <c r="AP16" s="20"/>
      <c r="AR16" s="21"/>
      <c r="AS16" s="21"/>
      <c r="AT16" s="21"/>
      <c r="AU16" s="21"/>
      <c r="AV16" s="21"/>
      <c r="AW16" s="21"/>
      <c r="AX16" s="21"/>
      <c r="AY16" s="13"/>
      <c r="AZ16" s="13"/>
      <c r="BA16" s="13"/>
      <c r="BC16" s="13"/>
      <c r="BD16" s="13"/>
      <c r="BE16" s="13"/>
      <c r="BF16" s="13"/>
      <c r="BH16" s="13"/>
      <c r="BK16" s="21"/>
      <c r="BL16" s="21"/>
      <c r="BM16" s="21"/>
      <c r="BN16" s="21"/>
      <c r="BP16" s="14"/>
      <c r="BQ16" s="21"/>
      <c r="BR16" s="21"/>
      <c r="BS16" s="21"/>
    </row>
    <row r="17" spans="2:71" x14ac:dyDescent="0.25">
      <c r="B17" s="18"/>
      <c r="C17" s="18"/>
      <c r="D17" s="18"/>
      <c r="E17" s="18"/>
      <c r="F17" s="18"/>
      <c r="G17" s="18"/>
      <c r="AP17" s="20"/>
      <c r="AQ17" s="21"/>
      <c r="BN17" s="21"/>
      <c r="BP17" s="14"/>
    </row>
    <row r="18" spans="2:71" ht="7.5" customHeight="1" x14ac:dyDescent="0.25">
      <c r="B18" s="28"/>
      <c r="C18" s="28"/>
      <c r="D18" s="28"/>
      <c r="E18" s="28"/>
      <c r="F18" s="28"/>
      <c r="G18" s="2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U18" s="21"/>
      <c r="V18" s="21"/>
      <c r="W18" s="21"/>
      <c r="X18" s="21"/>
      <c r="Y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9"/>
      <c r="AP18" s="20"/>
      <c r="AR18" s="21"/>
      <c r="AS18" s="21"/>
      <c r="AT18" s="21"/>
      <c r="AU18" s="21"/>
      <c r="AV18" s="21"/>
      <c r="AW18" s="21"/>
      <c r="AX18" s="21"/>
      <c r="AY18" s="13"/>
      <c r="AZ18" s="13"/>
      <c r="BA18" s="13"/>
      <c r="BC18" s="13"/>
      <c r="BD18" s="13"/>
      <c r="BE18" s="13"/>
      <c r="BF18" s="13"/>
      <c r="BH18" s="13"/>
      <c r="BK18" s="21"/>
      <c r="BL18" s="21"/>
      <c r="BM18" s="21"/>
      <c r="BN18" s="21"/>
      <c r="BP18" s="14"/>
      <c r="BQ18" s="21"/>
      <c r="BR18" s="21"/>
      <c r="BS18" s="21"/>
    </row>
    <row r="19" spans="2:71" ht="7.5" customHeight="1" x14ac:dyDescent="0.25">
      <c r="B19" s="18"/>
      <c r="C19" s="18"/>
      <c r="D19" s="18"/>
      <c r="E19" s="18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  <c r="V19" s="21"/>
      <c r="W19" s="21"/>
      <c r="X19" s="21"/>
      <c r="Y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9"/>
      <c r="AP19" s="20"/>
      <c r="AR19" s="21"/>
      <c r="AS19" s="21"/>
      <c r="AT19" s="21"/>
      <c r="AU19" s="21"/>
      <c r="AV19" s="21"/>
      <c r="AW19" s="21"/>
      <c r="AX19" s="21"/>
      <c r="AY19" s="13"/>
      <c r="AZ19" s="13"/>
      <c r="BA19" s="13"/>
      <c r="BC19" s="13"/>
      <c r="BD19" s="13"/>
      <c r="BE19" s="13"/>
      <c r="BF19" s="13"/>
      <c r="BH19" s="13"/>
      <c r="BK19" s="21"/>
      <c r="BL19" s="21"/>
      <c r="BM19" s="21"/>
      <c r="BN19" s="21"/>
      <c r="BP19" s="14"/>
      <c r="BQ19" s="21"/>
      <c r="BR19" s="21"/>
      <c r="BS19" s="21"/>
    </row>
    <row r="20" spans="2:71" ht="23.25" x14ac:dyDescent="0.25">
      <c r="B20" s="18"/>
      <c r="C20" s="18"/>
      <c r="D20" s="18"/>
      <c r="E20" s="41" t="s">
        <v>79</v>
      </c>
      <c r="G20" s="18"/>
      <c r="AP20" s="20"/>
      <c r="AQ20" s="21"/>
      <c r="BN20" s="21"/>
      <c r="BP20" s="14"/>
    </row>
    <row r="21" spans="2:71" ht="16.5" customHeight="1" x14ac:dyDescent="0.25">
      <c r="B21" s="18"/>
      <c r="C21" s="18"/>
      <c r="D21" s="18"/>
      <c r="E21" s="18"/>
      <c r="F21" s="26"/>
      <c r="G21" s="18"/>
      <c r="AP21" s="20"/>
      <c r="AQ21" s="21"/>
      <c r="BN21" s="21"/>
      <c r="BP21" s="14"/>
    </row>
    <row r="22" spans="2:71" s="15" customFormat="1" x14ac:dyDescent="0.25">
      <c r="B22" s="4"/>
      <c r="C22" s="4"/>
      <c r="D22" s="4"/>
      <c r="E22" s="5" t="s">
        <v>77</v>
      </c>
      <c r="F22" s="39" t="s">
        <v>78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9"/>
      <c r="AP22" s="20"/>
      <c r="AQ22" s="21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4"/>
      <c r="BP22" s="4"/>
      <c r="BQ22" s="4"/>
      <c r="BR22" s="4"/>
      <c r="BS22" s="4"/>
    </row>
    <row r="23" spans="2:71" x14ac:dyDescent="0.25">
      <c r="B23" s="25"/>
      <c r="C23" s="24"/>
      <c r="D23" s="24"/>
      <c r="E23" s="35"/>
      <c r="F23" s="40"/>
      <c r="G23" s="38"/>
      <c r="AO23" s="19"/>
      <c r="AP23" s="20"/>
      <c r="AQ23" s="21"/>
      <c r="BN23" s="21"/>
    </row>
    <row r="24" spans="2:71" x14ac:dyDescent="0.25">
      <c r="B24" s="36"/>
      <c r="C24" s="24"/>
      <c r="D24" s="24"/>
      <c r="E24" s="35"/>
      <c r="F24" s="37"/>
      <c r="G24" s="38"/>
      <c r="AO24" s="19"/>
      <c r="AP24" s="20"/>
      <c r="AQ24" s="21"/>
      <c r="BN24" s="21"/>
    </row>
    <row r="25" spans="2:71" x14ac:dyDescent="0.25">
      <c r="B25" s="36"/>
      <c r="C25" s="24"/>
      <c r="D25" s="24"/>
      <c r="E25" s="35"/>
      <c r="F25" s="37"/>
      <c r="G25" s="38"/>
      <c r="U25" s="21"/>
      <c r="V25" s="21"/>
      <c r="W25" s="21"/>
      <c r="Y25" s="21"/>
      <c r="AA25" s="21"/>
      <c r="AB25" s="21"/>
      <c r="AD25" s="21"/>
      <c r="AE25" s="21"/>
      <c r="AG25" s="21"/>
      <c r="AH25" s="21"/>
      <c r="AI25" s="21"/>
      <c r="AJ25" s="21"/>
      <c r="AK25" s="21"/>
      <c r="AL25" s="21"/>
      <c r="AM25" s="21"/>
      <c r="AN25" s="21"/>
      <c r="AO25" s="19"/>
      <c r="AP25" s="20"/>
      <c r="AQ25" s="21"/>
      <c r="AR25" s="21"/>
      <c r="AS25" s="21"/>
      <c r="AT25" s="21"/>
      <c r="AU25" s="21"/>
      <c r="AV25" s="21"/>
      <c r="AW25" s="21"/>
      <c r="AX25" s="21"/>
      <c r="AZ25" s="21"/>
      <c r="BA25" s="21"/>
      <c r="BB25" s="21"/>
      <c r="BC25" s="21"/>
      <c r="BD25" s="21"/>
      <c r="BE25" s="21"/>
      <c r="BF25" s="21"/>
      <c r="BG25" s="21"/>
      <c r="BH25" s="21"/>
      <c r="BJ25" s="21"/>
      <c r="BK25" s="21"/>
      <c r="BL25" s="21"/>
      <c r="BM25" s="21"/>
      <c r="BN25" s="21"/>
      <c r="BO25" s="21"/>
      <c r="BP25" s="14"/>
      <c r="BQ25" s="21"/>
      <c r="BR25" s="21"/>
      <c r="BS25" s="21"/>
    </row>
    <row r="26" spans="2:71" s="15" customFormat="1" x14ac:dyDescent="0.25">
      <c r="B26" s="25"/>
      <c r="C26" s="24"/>
      <c r="D26" s="24"/>
      <c r="E26" s="35"/>
      <c r="F26" s="40"/>
      <c r="G26" s="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2:71" s="15" customFormat="1" x14ac:dyDescent="0.25">
      <c r="B27" s="25"/>
      <c r="C27" s="23"/>
      <c r="D27" s="24"/>
      <c r="E27" s="35"/>
      <c r="F27" s="40"/>
      <c r="G27" s="3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2:71" s="15" customFormat="1" x14ac:dyDescent="0.25">
      <c r="B28" s="25"/>
      <c r="C28" s="24"/>
      <c r="D28" s="24"/>
      <c r="E28" s="35"/>
      <c r="F28" s="40"/>
      <c r="G28" s="38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2:71" s="15" customFormat="1" x14ac:dyDescent="0.25">
      <c r="B29" s="25"/>
      <c r="C29" s="24"/>
      <c r="D29" s="24"/>
      <c r="E29" s="35"/>
      <c r="F29" s="40"/>
      <c r="G29" s="3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2:71" s="15" customFormat="1" x14ac:dyDescent="0.25">
      <c r="B30" s="36"/>
      <c r="C30" s="24"/>
      <c r="D30" s="24"/>
      <c r="E30" s="35"/>
      <c r="F30" s="37"/>
      <c r="G30" s="3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2:71" s="15" customFormat="1" x14ac:dyDescent="0.25">
      <c r="B31" s="36"/>
      <c r="C31" s="24"/>
      <c r="D31" s="24"/>
      <c r="E31" s="35"/>
      <c r="F31" s="37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2:71" s="15" customFormat="1" x14ac:dyDescent="0.25">
      <c r="B32" s="36"/>
      <c r="C32" s="24"/>
      <c r="D32" s="24"/>
      <c r="E32" s="35"/>
      <c r="F32" s="37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2:71" s="15" customFormat="1" x14ac:dyDescent="0.25">
      <c r="B33" s="36"/>
      <c r="C33" s="24"/>
      <c r="D33" s="24"/>
      <c r="E33" s="35"/>
      <c r="F33" s="37"/>
      <c r="G33" s="3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2:71" s="15" customFormat="1" x14ac:dyDescent="0.25">
      <c r="B34" s="25"/>
      <c r="C34" s="24"/>
      <c r="D34" s="24"/>
      <c r="E34" s="35"/>
      <c r="F34" s="40"/>
      <c r="G34" s="3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2:71" s="15" customFormat="1" x14ac:dyDescent="0.25">
      <c r="B35" s="25"/>
      <c r="C35" s="24"/>
      <c r="D35" s="24"/>
      <c r="E35" s="35"/>
      <c r="F35" s="40"/>
      <c r="G35" s="3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2:71" s="15" customFormat="1" x14ac:dyDescent="0.25">
      <c r="B36" s="25"/>
      <c r="C36" s="24"/>
      <c r="D36" s="24"/>
      <c r="E36" s="35"/>
      <c r="F36" s="40"/>
      <c r="G36" s="3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s="15" customFormat="1" x14ac:dyDescent="0.25">
      <c r="B37" s="25"/>
      <c r="C37" s="24"/>
      <c r="D37" s="24"/>
      <c r="E37" s="35"/>
      <c r="F37" s="40"/>
      <c r="G37" s="3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s="15" customFormat="1" x14ac:dyDescent="0.25">
      <c r="B38" s="36"/>
      <c r="C38" s="24"/>
      <c r="D38" s="24"/>
      <c r="E38" s="35"/>
      <c r="F38" s="37"/>
      <c r="G38" s="3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s="15" customFormat="1" x14ac:dyDescent="0.25">
      <c r="B39" s="36"/>
      <c r="C39" s="24"/>
      <c r="D39" s="24"/>
      <c r="E39" s="35"/>
      <c r="F39" s="37"/>
      <c r="G39" s="3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15" customFormat="1" x14ac:dyDescent="0.25">
      <c r="B40" s="25"/>
      <c r="C40" s="23"/>
      <c r="D40" s="24"/>
      <c r="E40" s="35"/>
      <c r="F40" s="40"/>
      <c r="G40" s="3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15" customFormat="1" x14ac:dyDescent="0.25">
      <c r="B41" s="25"/>
      <c r="C41" s="23"/>
      <c r="D41" s="24"/>
      <c r="E41" s="35"/>
      <c r="F41" s="40"/>
      <c r="G41" s="3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15" customFormat="1" x14ac:dyDescent="0.25">
      <c r="B42" s="21"/>
      <c r="C42" s="21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15" customFormat="1" x14ac:dyDescent="0.25">
      <c r="B43" s="21"/>
      <c r="C43" s="2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15" customFormat="1" x14ac:dyDescent="0.25">
      <c r="B44" s="21"/>
      <c r="C44" s="2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15" customFormat="1" x14ac:dyDescent="0.25">
      <c r="B45" s="21"/>
      <c r="C45" s="2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15" customFormat="1" x14ac:dyDescent="0.25">
      <c r="B46" s="21"/>
      <c r="C46" s="2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s="15" customFormat="1" x14ac:dyDescent="0.25">
      <c r="B47" s="21"/>
      <c r="C47" s="2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15" customFormat="1" x14ac:dyDescent="0.25">
      <c r="B48" s="21"/>
      <c r="C48" s="2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s="15" customFormat="1" x14ac:dyDescent="0.25">
      <c r="B49" s="21"/>
      <c r="C49" s="2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s="15" customFormat="1" x14ac:dyDescent="0.25">
      <c r="B50" s="21"/>
      <c r="C50" s="2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s="15" customFormat="1" x14ac:dyDescent="0.25">
      <c r="B51" s="21"/>
      <c r="C51" s="2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s="15" customFormat="1" x14ac:dyDescent="0.25">
      <c r="B52" s="21"/>
      <c r="C52" s="2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s="15" customFormat="1" x14ac:dyDescent="0.25">
      <c r="B53" s="21"/>
      <c r="C53" s="2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s="15" customFormat="1" x14ac:dyDescent="0.25">
      <c r="B54" s="21"/>
      <c r="C54" s="2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s="15" customFormat="1" x14ac:dyDescent="0.25">
      <c r="B55" s="21"/>
      <c r="C55" s="2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s="15" customFormat="1" x14ac:dyDescent="0.25">
      <c r="B56" s="21"/>
      <c r="C56" s="2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5" customFormat="1" x14ac:dyDescent="0.25">
      <c r="B57" s="21"/>
      <c r="C57" s="2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s="15" customFormat="1" x14ac:dyDescent="0.25">
      <c r="B58" s="21"/>
      <c r="C58" s="2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s="15" customFormat="1" x14ac:dyDescent="0.25">
      <c r="B59" s="21"/>
      <c r="C59" s="2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s="15" customFormat="1" x14ac:dyDescent="0.25">
      <c r="B60" s="21"/>
      <c r="C60" s="2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s="15" customFormat="1" x14ac:dyDescent="0.25">
      <c r="B61" s="21"/>
      <c r="C61" s="2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s="15" customFormat="1" x14ac:dyDescent="0.25">
      <c r="B62" s="21"/>
      <c r="C62" s="2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s="15" customFormat="1" x14ac:dyDescent="0.25">
      <c r="B63" s="21"/>
      <c r="C63" s="2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s="15" customFormat="1" x14ac:dyDescent="0.25">
      <c r="B64" s="21"/>
      <c r="C64" s="2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2:71" s="15" customFormat="1" x14ac:dyDescent="0.25">
      <c r="B65" s="21"/>
      <c r="C65" s="2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2:71" s="15" customFormat="1" x14ac:dyDescent="0.25">
      <c r="B66" s="21"/>
      <c r="C66" s="2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2:71" s="15" customFormat="1" x14ac:dyDescent="0.25">
      <c r="B67" s="21"/>
      <c r="C67" s="2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2:71" s="15" customFormat="1" x14ac:dyDescent="0.25">
      <c r="B68" s="21"/>
      <c r="C68" s="2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2:71" s="15" customFormat="1" x14ac:dyDescent="0.25">
      <c r="B69" s="21"/>
      <c r="C69" s="2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2:71" s="15" customFormat="1" x14ac:dyDescent="0.25">
      <c r="B70" s="21"/>
      <c r="C70" s="2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2:71" s="15" customFormat="1" x14ac:dyDescent="0.25">
      <c r="B71" s="21"/>
      <c r="C71" s="2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71" s="15" customFormat="1" x14ac:dyDescent="0.25">
      <c r="B72" s="21"/>
      <c r="C72" s="2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2:71" s="15" customFormat="1" x14ac:dyDescent="0.25">
      <c r="B73" s="21"/>
      <c r="C73" s="2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2:71" s="15" customFormat="1" x14ac:dyDescent="0.25">
      <c r="B74" s="21"/>
      <c r="C74" s="2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2:71" s="15" customFormat="1" x14ac:dyDescent="0.25">
      <c r="B75" s="21"/>
      <c r="C75" s="2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2:71" s="15" customFormat="1" x14ac:dyDescent="0.25">
      <c r="B76" s="21"/>
      <c r="C76" s="2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2:71" s="15" customFormat="1" x14ac:dyDescent="0.25">
      <c r="B77" s="21"/>
      <c r="C77" s="2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2:71" s="15" customFormat="1" x14ac:dyDescent="0.25">
      <c r="B78" s="21"/>
      <c r="C78" s="2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2:71" s="15" customFormat="1" x14ac:dyDescent="0.25">
      <c r="B79" s="21"/>
      <c r="C79" s="2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2:71" s="15" customFormat="1" x14ac:dyDescent="0.25">
      <c r="B80" s="21"/>
      <c r="C80" s="2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2:71" s="15" customFormat="1" x14ac:dyDescent="0.25">
      <c r="B81" s="21"/>
      <c r="C81" s="2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2:71" s="15" customFormat="1" x14ac:dyDescent="0.25">
      <c r="B82" s="21"/>
      <c r="C82" s="2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2:71" s="15" customFormat="1" x14ac:dyDescent="0.25">
      <c r="B83" s="21"/>
      <c r="C83" s="2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2:71" s="15" customFormat="1" x14ac:dyDescent="0.25">
      <c r="B84" s="21"/>
      <c r="C84" s="2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2:71" s="15" customFormat="1" x14ac:dyDescent="0.25">
      <c r="B85" s="21"/>
      <c r="C85" s="2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2:71" s="15" customFormat="1" x14ac:dyDescent="0.25">
      <c r="B86" s="21"/>
      <c r="C86" s="2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2:71" s="15" customFormat="1" x14ac:dyDescent="0.25">
      <c r="B87" s="21"/>
      <c r="C87" s="2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2:71" s="15" customFormat="1" x14ac:dyDescent="0.25">
      <c r="B88" s="21"/>
      <c r="C88" s="2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2:71" s="15" customFormat="1" x14ac:dyDescent="0.25">
      <c r="B89" s="21"/>
      <c r="C89" s="2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2:71" s="15" customFormat="1" x14ac:dyDescent="0.25">
      <c r="B90" s="21"/>
      <c r="C90" s="2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2:71" s="15" customFormat="1" x14ac:dyDescent="0.25">
      <c r="B91" s="21"/>
      <c r="C91" s="2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2:71" s="15" customFormat="1" x14ac:dyDescent="0.25">
      <c r="B92" s="21"/>
      <c r="C92" s="2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2:71" s="15" customFormat="1" x14ac:dyDescent="0.25">
      <c r="B93" s="21"/>
      <c r="C93" s="2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2:71" s="15" customFormat="1" x14ac:dyDescent="0.25">
      <c r="B94" s="21"/>
      <c r="C94" s="2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2:71" s="15" customFormat="1" x14ac:dyDescent="0.25">
      <c r="B95" s="21"/>
      <c r="C95" s="2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2:71" s="15" customFormat="1" x14ac:dyDescent="0.25">
      <c r="B96" s="21"/>
      <c r="C96" s="2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2:71" s="15" customFormat="1" x14ac:dyDescent="0.25">
      <c r="B97" s="21"/>
      <c r="C97" s="2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2:71" s="15" customFormat="1" x14ac:dyDescent="0.25">
      <c r="B98" s="21"/>
      <c r="C98" s="2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2:71" s="15" customFormat="1" x14ac:dyDescent="0.25">
      <c r="B99" s="21"/>
      <c r="C99" s="2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2:71" s="15" customFormat="1" x14ac:dyDescent="0.25">
      <c r="B100" s="21"/>
      <c r="C100" s="2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2:71" s="15" customFormat="1" x14ac:dyDescent="0.25">
      <c r="B101" s="21"/>
      <c r="C101" s="2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2:71" s="15" customFormat="1" x14ac:dyDescent="0.25">
      <c r="B102" s="21"/>
      <c r="C102" s="2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2:71" s="15" customFormat="1" x14ac:dyDescent="0.25">
      <c r="B103" s="21"/>
      <c r="C103" s="2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2:71" s="15" customFormat="1" x14ac:dyDescent="0.25">
      <c r="B104" s="21"/>
      <c r="C104" s="2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2:71" s="15" customFormat="1" x14ac:dyDescent="0.25">
      <c r="B105" s="21"/>
      <c r="C105" s="2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2:71" s="15" customFormat="1" x14ac:dyDescent="0.25">
      <c r="B106" s="21"/>
      <c r="C106" s="2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2:71" s="15" customFormat="1" x14ac:dyDescent="0.25">
      <c r="B107" s="21"/>
      <c r="C107" s="2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2:71" s="15" customFormat="1" x14ac:dyDescent="0.25">
      <c r="B108" s="21"/>
      <c r="C108" s="2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2:71" s="15" customFormat="1" x14ac:dyDescent="0.25">
      <c r="B109" s="21"/>
      <c r="C109" s="2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2:71" s="15" customFormat="1" x14ac:dyDescent="0.25">
      <c r="B110" s="21"/>
      <c r="C110" s="2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2:71" s="15" customFormat="1" x14ac:dyDescent="0.25">
      <c r="B111" s="21"/>
      <c r="C111" s="2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2:71" s="15" customFormat="1" x14ac:dyDescent="0.25">
      <c r="B112" s="21"/>
      <c r="C112" s="2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s="15" customFormat="1" x14ac:dyDescent="0.25">
      <c r="B113" s="21"/>
      <c r="C113" s="2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s="15" customFormat="1" x14ac:dyDescent="0.25">
      <c r="B114" s="21"/>
      <c r="C114" s="2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s="15" customFormat="1" x14ac:dyDescent="0.25">
      <c r="B115" s="21"/>
      <c r="C115" s="2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s="15" customFormat="1" x14ac:dyDescent="0.25">
      <c r="B116" s="21"/>
      <c r="C116" s="2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s="15" customFormat="1" x14ac:dyDescent="0.25">
      <c r="B117" s="21"/>
      <c r="C117" s="2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s="15" customFormat="1" x14ac:dyDescent="0.25">
      <c r="B118" s="21"/>
      <c r="C118" s="2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s="15" customFormat="1" x14ac:dyDescent="0.25">
      <c r="B119" s="21"/>
      <c r="C119" s="2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s="15" customFormat="1" x14ac:dyDescent="0.25">
      <c r="B120" s="21"/>
      <c r="C120" s="2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s="15" customFormat="1" x14ac:dyDescent="0.25">
      <c r="B121" s="21"/>
      <c r="C121" s="2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s="15" customFormat="1" x14ac:dyDescent="0.25">
      <c r="B122" s="21"/>
      <c r="C122" s="2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s="15" customFormat="1" x14ac:dyDescent="0.25">
      <c r="B123" s="21"/>
      <c r="C123" s="2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s="15" customFormat="1" x14ac:dyDescent="0.25">
      <c r="B124" s="21"/>
      <c r="C124" s="2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s="15" customFormat="1" x14ac:dyDescent="0.25">
      <c r="B125" s="21"/>
      <c r="C125" s="2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s="15" customFormat="1" x14ac:dyDescent="0.25">
      <c r="B126" s="21"/>
      <c r="C126" s="2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s="15" customFormat="1" x14ac:dyDescent="0.25">
      <c r="B127" s="21"/>
      <c r="C127" s="2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s="15" customFormat="1" x14ac:dyDescent="0.25">
      <c r="B128" s="21"/>
      <c r="C128" s="2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s="15" customFormat="1" x14ac:dyDescent="0.25">
      <c r="B129" s="21"/>
      <c r="C129" s="2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2:71" s="15" customFormat="1" x14ac:dyDescent="0.25">
      <c r="B130" s="21"/>
      <c r="C130" s="2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2:71" s="15" customFormat="1" x14ac:dyDescent="0.25">
      <c r="B131" s="21"/>
      <c r="C131" s="2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2:71" s="15" customFormat="1" x14ac:dyDescent="0.25">
      <c r="B132" s="21"/>
      <c r="C132" s="2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2:71" s="15" customFormat="1" x14ac:dyDescent="0.25">
      <c r="B133" s="21"/>
      <c r="C133" s="2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2:71" s="15" customFormat="1" x14ac:dyDescent="0.25">
      <c r="B134" s="21"/>
      <c r="C134" s="2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2:71" s="15" customFormat="1" x14ac:dyDescent="0.25">
      <c r="B135" s="21"/>
      <c r="C135" s="2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2:71" s="15" customFormat="1" x14ac:dyDescent="0.25">
      <c r="B136" s="21"/>
      <c r="C136" s="2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2:71" s="15" customFormat="1" x14ac:dyDescent="0.25">
      <c r="B137" s="21"/>
      <c r="C137" s="2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2:71" s="15" customFormat="1" x14ac:dyDescent="0.25">
      <c r="B138" s="21"/>
      <c r="C138" s="2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2:71" s="15" customFormat="1" x14ac:dyDescent="0.25">
      <c r="B139" s="21"/>
      <c r="C139" s="2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2:71" s="15" customFormat="1" x14ac:dyDescent="0.25">
      <c r="B140" s="21"/>
      <c r="C140" s="2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2:71" s="15" customFormat="1" x14ac:dyDescent="0.25">
      <c r="B141" s="21"/>
      <c r="C141" s="2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2:71" s="15" customFormat="1" x14ac:dyDescent="0.25">
      <c r="B142" s="21"/>
      <c r="C142" s="2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2:71" s="15" customFormat="1" x14ac:dyDescent="0.25">
      <c r="B143" s="21"/>
      <c r="C143" s="2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2:71" s="15" customFormat="1" x14ac:dyDescent="0.25">
      <c r="B144" s="21"/>
      <c r="C144" s="2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</sheetData>
  <mergeCells count="8">
    <mergeCell ref="BI4:BP4"/>
    <mergeCell ref="AY7:BC7"/>
    <mergeCell ref="T4:AN4"/>
    <mergeCell ref="AO4:AP4"/>
    <mergeCell ref="AQ4:AR4"/>
    <mergeCell ref="AS4:AX4"/>
    <mergeCell ref="AY4:BC4"/>
    <mergeCell ref="BD4:BH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S1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32" sqref="C32"/>
    </sheetView>
  </sheetViews>
  <sheetFormatPr defaultColWidth="9.140625" defaultRowHeight="15" x14ac:dyDescent="0.25"/>
  <cols>
    <col min="1" max="1" width="10.28515625" style="4" hidden="1" customWidth="1"/>
    <col min="2" max="2" width="12.28515625" style="21" bestFit="1" customWidth="1"/>
    <col min="3" max="3" width="8.7109375" style="21" bestFit="1" customWidth="1"/>
    <col min="4" max="4" width="29" style="4" customWidth="1"/>
    <col min="5" max="5" width="51" style="1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9.140625" style="4" customWidth="1"/>
    <col min="43" max="43" width="14.85546875" style="4" customWidth="1"/>
    <col min="44" max="44" width="17.140625" style="4" customWidth="1"/>
    <col min="45" max="45" width="11.5703125" style="4" bestFit="1" customWidth="1"/>
    <col min="46" max="46" width="11.140625" style="4" bestFit="1" customWidth="1"/>
    <col min="47" max="47" width="11.42578125" style="4" bestFit="1" customWidth="1"/>
    <col min="48" max="48" width="8.28515625" style="4" bestFit="1" customWidth="1"/>
    <col min="49" max="49" width="11.42578125" style="4" bestFit="1" customWidth="1"/>
    <col min="50" max="50" width="8.85546875" style="4" bestFit="1" customWidth="1"/>
    <col min="51" max="51" width="7" style="4" bestFit="1" customWidth="1"/>
    <col min="52" max="52" width="17.85546875" style="4" customWidth="1"/>
    <col min="53" max="53" width="6.85546875" style="4" bestFit="1" customWidth="1"/>
    <col min="54" max="54" width="6.7109375" style="4" customWidth="1"/>
    <col min="55" max="55" width="7.5703125" style="4" bestFit="1" customWidth="1"/>
    <col min="56" max="56" width="7" style="4" bestFit="1" customWidth="1"/>
    <col min="57" max="57" width="20.140625" style="4" bestFit="1" customWidth="1"/>
    <col min="58" max="58" width="6.85546875" style="4" bestFit="1" customWidth="1"/>
    <col min="59" max="59" width="5.5703125" style="4" bestFit="1" customWidth="1"/>
    <col min="60" max="60" width="7.5703125" style="4" bestFit="1" customWidth="1"/>
    <col min="61" max="61" width="17.85546875" style="4" customWidth="1"/>
    <col min="62" max="62" width="10.42578125" style="4" bestFit="1" customWidth="1"/>
    <col min="63" max="63" width="12" style="4" bestFit="1" customWidth="1"/>
    <col min="64" max="65" width="14.42578125" style="4" bestFit="1" customWidth="1"/>
    <col min="66" max="66" width="13.28515625" style="4" bestFit="1" customWidth="1"/>
    <col min="67" max="67" width="16.28515625" style="4" bestFit="1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16384" width="9.140625" style="4"/>
  </cols>
  <sheetData>
    <row r="2" spans="1:71" ht="23.25" x14ac:dyDescent="0.25">
      <c r="E2" s="2" t="s">
        <v>81</v>
      </c>
      <c r="G2" s="2"/>
      <c r="H2" s="3"/>
    </row>
    <row r="3" spans="1:71" ht="20.25" x14ac:dyDescent="0.25">
      <c r="E3" s="55">
        <v>41913</v>
      </c>
    </row>
    <row r="4" spans="1:71" ht="15.75" customHeight="1" x14ac:dyDescent="0.25">
      <c r="D4" s="16" t="s">
        <v>17</v>
      </c>
      <c r="F4" s="65"/>
      <c r="G4" s="65"/>
      <c r="H4" s="66" t="s">
        <v>15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09" t="s">
        <v>16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 t="s">
        <v>85</v>
      </c>
      <c r="AP4" s="210"/>
      <c r="AQ4" s="211" t="s">
        <v>19</v>
      </c>
      <c r="AR4" s="211"/>
      <c r="AS4" s="212" t="s">
        <v>91</v>
      </c>
      <c r="AT4" s="212"/>
      <c r="AU4" s="212"/>
      <c r="AV4" s="212"/>
      <c r="AW4" s="212"/>
      <c r="AX4" s="212"/>
      <c r="AY4" s="213" t="s">
        <v>22</v>
      </c>
      <c r="AZ4" s="213"/>
      <c r="BA4" s="213"/>
      <c r="BB4" s="213"/>
      <c r="BC4" s="213"/>
      <c r="BD4" s="208" t="s">
        <v>28</v>
      </c>
      <c r="BE4" s="208"/>
      <c r="BF4" s="208"/>
      <c r="BG4" s="208"/>
      <c r="BH4" s="208"/>
      <c r="BI4" s="207" t="s">
        <v>34</v>
      </c>
      <c r="BJ4" s="207"/>
      <c r="BK4" s="207"/>
      <c r="BL4" s="207"/>
      <c r="BM4" s="207"/>
      <c r="BN4" s="207"/>
      <c r="BO4" s="207"/>
      <c r="BP4" s="207"/>
    </row>
    <row r="5" spans="1:71" x14ac:dyDescent="0.25">
      <c r="B5" s="17" t="s">
        <v>0</v>
      </c>
      <c r="C5" s="22" t="s">
        <v>83</v>
      </c>
      <c r="D5" s="17" t="s">
        <v>2</v>
      </c>
      <c r="E5" s="5" t="s">
        <v>1</v>
      </c>
      <c r="F5" s="6" t="s">
        <v>3</v>
      </c>
      <c r="G5" s="6" t="s">
        <v>7</v>
      </c>
      <c r="H5" s="6" t="s">
        <v>4</v>
      </c>
      <c r="I5" s="6" t="s">
        <v>6</v>
      </c>
      <c r="J5" s="6" t="s">
        <v>5</v>
      </c>
      <c r="K5" s="6" t="s">
        <v>56</v>
      </c>
      <c r="L5" s="6" t="s">
        <v>54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80</v>
      </c>
      <c r="S5" s="6" t="s">
        <v>61</v>
      </c>
      <c r="T5" s="7" t="s">
        <v>8</v>
      </c>
      <c r="U5" s="7" t="s">
        <v>47</v>
      </c>
      <c r="V5" s="7" t="s">
        <v>9</v>
      </c>
      <c r="W5" s="7" t="s">
        <v>36</v>
      </c>
      <c r="X5" s="7" t="s">
        <v>10</v>
      </c>
      <c r="Y5" s="7" t="s">
        <v>48</v>
      </c>
      <c r="Z5" s="7" t="s">
        <v>11</v>
      </c>
      <c r="AA5" s="7" t="s">
        <v>53</v>
      </c>
      <c r="AB5" s="7" t="s">
        <v>12</v>
      </c>
      <c r="AC5" s="7" t="s">
        <v>52</v>
      </c>
      <c r="AD5" s="7" t="s">
        <v>49</v>
      </c>
      <c r="AE5" s="7" t="s">
        <v>14</v>
      </c>
      <c r="AF5" s="7" t="s">
        <v>37</v>
      </c>
      <c r="AG5" s="7" t="s">
        <v>50</v>
      </c>
      <c r="AH5" s="7" t="s">
        <v>51</v>
      </c>
      <c r="AI5" s="7" t="s">
        <v>46</v>
      </c>
      <c r="AJ5" s="7" t="s">
        <v>38</v>
      </c>
      <c r="AK5" s="7" t="s">
        <v>86</v>
      </c>
      <c r="AL5" s="7" t="s">
        <v>39</v>
      </c>
      <c r="AM5" s="7" t="s">
        <v>40</v>
      </c>
      <c r="AN5" s="7" t="s">
        <v>13</v>
      </c>
      <c r="AO5" s="11" t="s">
        <v>20</v>
      </c>
      <c r="AP5" s="11" t="s">
        <v>21</v>
      </c>
      <c r="AQ5" s="8" t="s">
        <v>18</v>
      </c>
      <c r="AR5" s="8" t="s">
        <v>55</v>
      </c>
      <c r="AS5" s="70" t="s">
        <v>23</v>
      </c>
      <c r="AT5" s="70" t="s">
        <v>24</v>
      </c>
      <c r="AU5" s="70" t="s">
        <v>25</v>
      </c>
      <c r="AV5" s="70" t="s">
        <v>92</v>
      </c>
      <c r="AW5" s="70" t="s">
        <v>25</v>
      </c>
      <c r="AX5" s="70" t="s">
        <v>93</v>
      </c>
      <c r="AY5" s="9" t="s">
        <v>23</v>
      </c>
      <c r="AZ5" s="9" t="s">
        <v>24</v>
      </c>
      <c r="BA5" s="9" t="s">
        <v>25</v>
      </c>
      <c r="BB5" s="9" t="s">
        <v>26</v>
      </c>
      <c r="BC5" s="9" t="s">
        <v>27</v>
      </c>
      <c r="BD5" s="10" t="s">
        <v>23</v>
      </c>
      <c r="BE5" s="10" t="s">
        <v>24</v>
      </c>
      <c r="BF5" s="10" t="s">
        <v>25</v>
      </c>
      <c r="BG5" s="10" t="s">
        <v>26</v>
      </c>
      <c r="BH5" s="10" t="s">
        <v>27</v>
      </c>
      <c r="BI5" s="11" t="s">
        <v>45</v>
      </c>
      <c r="BJ5" s="12" t="s">
        <v>29</v>
      </c>
      <c r="BK5" s="12" t="s">
        <v>30</v>
      </c>
      <c r="BL5" s="12" t="s">
        <v>31</v>
      </c>
      <c r="BM5" s="12" t="s">
        <v>32</v>
      </c>
      <c r="BN5" s="12" t="s">
        <v>33</v>
      </c>
      <c r="BO5" s="12" t="s">
        <v>35</v>
      </c>
      <c r="BP5" s="12" t="s">
        <v>44</v>
      </c>
      <c r="BQ5" s="12" t="s">
        <v>41</v>
      </c>
      <c r="BR5" s="12" t="s">
        <v>42</v>
      </c>
      <c r="BS5" s="12" t="s">
        <v>43</v>
      </c>
    </row>
    <row r="6" spans="1:71" s="1" customFormat="1" ht="15" customHeight="1" x14ac:dyDescent="0.25">
      <c r="A6" s="92">
        <v>41913</v>
      </c>
      <c r="B6" s="59" t="s">
        <v>99</v>
      </c>
      <c r="C6" s="73" t="s">
        <v>73</v>
      </c>
      <c r="D6" s="73" t="s">
        <v>89</v>
      </c>
      <c r="E6" s="89" t="s">
        <v>107</v>
      </c>
      <c r="F6" s="35" t="s">
        <v>70</v>
      </c>
      <c r="G6" s="78" t="s">
        <v>96</v>
      </c>
      <c r="H6" s="57"/>
      <c r="I6" s="57"/>
      <c r="J6" s="44"/>
      <c r="K6" s="45"/>
      <c r="L6" s="69"/>
      <c r="M6" s="69"/>
      <c r="N6" s="69"/>
      <c r="O6" s="69"/>
      <c r="P6" s="69"/>
      <c r="Q6" s="69"/>
      <c r="R6" s="69"/>
      <c r="S6" s="69"/>
      <c r="T6" s="86" t="s">
        <v>97</v>
      </c>
      <c r="U6" s="68"/>
      <c r="V6" s="44"/>
      <c r="W6" s="68"/>
      <c r="X6" s="86" t="s">
        <v>98</v>
      </c>
      <c r="Y6" s="68"/>
      <c r="Z6" s="44"/>
      <c r="AA6" s="44"/>
      <c r="AB6" s="57"/>
      <c r="AC6" s="57"/>
      <c r="AD6" s="57"/>
      <c r="AE6" s="57"/>
      <c r="AF6" s="57"/>
      <c r="AG6" s="57"/>
      <c r="AH6" s="57"/>
      <c r="AI6" s="43"/>
      <c r="AJ6" s="57"/>
      <c r="AK6" s="57"/>
      <c r="AL6" s="57"/>
      <c r="AM6" s="57"/>
      <c r="AN6" s="86" t="s">
        <v>100</v>
      </c>
      <c r="AO6" s="58">
        <v>19.29</v>
      </c>
      <c r="AP6" s="42">
        <f>AO6/0.444</f>
        <v>43.445945945945944</v>
      </c>
      <c r="AQ6" s="87" t="s">
        <v>108</v>
      </c>
      <c r="AR6" s="88">
        <v>10038568737615</v>
      </c>
      <c r="AS6" s="80">
        <v>7.87</v>
      </c>
      <c r="AT6" s="80">
        <v>8.0299999999999994</v>
      </c>
      <c r="AU6" s="80">
        <v>0.79</v>
      </c>
      <c r="AV6" s="84"/>
      <c r="AW6" s="84"/>
      <c r="AX6" s="84"/>
      <c r="AY6" s="83">
        <f>8.07+(0.02*2)</f>
        <v>8.11</v>
      </c>
      <c r="AZ6" s="83">
        <f>0.98+(0.02*2)</f>
        <v>1.02</v>
      </c>
      <c r="BA6" s="83">
        <f>8.27+(0.02*4)</f>
        <v>8.35</v>
      </c>
      <c r="BB6" s="83">
        <f t="shared" ref="BB6:BB7" si="0">(BA6*AZ6*AY6)/1728</f>
        <v>3.997272569444444E-2</v>
      </c>
      <c r="BC6" s="83">
        <f>0.33+0.1</f>
        <v>0.43000000000000005</v>
      </c>
      <c r="BD6" s="76">
        <f>8.66+(0.125*2)</f>
        <v>8.91</v>
      </c>
      <c r="BE6" s="76">
        <f>8.46+(0.125*2)</f>
        <v>8.7100000000000009</v>
      </c>
      <c r="BF6" s="76">
        <f>6.5+(0.125*4)</f>
        <v>7</v>
      </c>
      <c r="BG6" s="81">
        <f t="shared" ref="BG6:BG7" si="1">(BF6*BE6*BD6)/1728</f>
        <v>0.31437656250000001</v>
      </c>
      <c r="BH6" s="85">
        <f>(BC6*6)+0.25</f>
        <v>2.83</v>
      </c>
      <c r="BI6" s="53" t="s">
        <v>64</v>
      </c>
      <c r="BJ6" s="53">
        <v>6</v>
      </c>
      <c r="BK6" s="53">
        <v>20</v>
      </c>
      <c r="BL6" s="53">
        <v>7</v>
      </c>
      <c r="BM6" s="49">
        <f t="shared" ref="BM6:BM7" si="2">BJ6*BK6*BL6</f>
        <v>840</v>
      </c>
      <c r="BN6" s="49">
        <f t="shared" ref="BN6:BN7" si="3">(BH6*BK6*BL6)+50</f>
        <v>446.2</v>
      </c>
      <c r="BO6" s="53" t="s">
        <v>69</v>
      </c>
      <c r="BP6" s="49" t="s">
        <v>67</v>
      </c>
      <c r="BQ6" s="71"/>
      <c r="BR6" s="71"/>
      <c r="BS6" s="71"/>
    </row>
    <row r="7" spans="1:71" s="1" customFormat="1" ht="26.25" x14ac:dyDescent="0.25">
      <c r="A7" s="92">
        <v>41913</v>
      </c>
      <c r="B7" s="59" t="s">
        <v>101</v>
      </c>
      <c r="C7" s="73" t="s">
        <v>73</v>
      </c>
      <c r="D7" s="73" t="s">
        <v>89</v>
      </c>
      <c r="E7" s="79" t="s">
        <v>106</v>
      </c>
      <c r="F7" s="35" t="s">
        <v>71</v>
      </c>
      <c r="G7" s="78" t="s">
        <v>105</v>
      </c>
      <c r="H7" s="57"/>
      <c r="I7" s="57"/>
      <c r="J7" s="44"/>
      <c r="K7" s="45"/>
      <c r="L7" s="69"/>
      <c r="M7" s="69"/>
      <c r="N7" s="69"/>
      <c r="O7" s="69"/>
      <c r="P7" s="69"/>
      <c r="Q7" s="69"/>
      <c r="R7" s="69"/>
      <c r="S7" s="69"/>
      <c r="T7" s="86" t="s">
        <v>102</v>
      </c>
      <c r="U7" s="68"/>
      <c r="V7" s="44"/>
      <c r="W7" s="68"/>
      <c r="X7" s="86" t="s">
        <v>103</v>
      </c>
      <c r="Y7" s="68"/>
      <c r="Z7" s="86" t="s">
        <v>104</v>
      </c>
      <c r="AA7" s="86"/>
      <c r="AB7" s="57"/>
      <c r="AC7" s="57"/>
      <c r="AD7" s="57"/>
      <c r="AE7" s="57"/>
      <c r="AF7" s="57"/>
      <c r="AG7" s="57"/>
      <c r="AH7" s="57"/>
      <c r="AI7" s="43"/>
      <c r="AJ7" s="57"/>
      <c r="AK7" s="57"/>
      <c r="AL7" s="57"/>
      <c r="AM7" s="57"/>
      <c r="AN7" s="44">
        <v>49980</v>
      </c>
      <c r="AO7" s="58">
        <v>50.91</v>
      </c>
      <c r="AP7" s="42">
        <f>AO7/0.444</f>
        <v>114.66216216216215</v>
      </c>
      <c r="AQ7" s="61" t="s">
        <v>109</v>
      </c>
      <c r="AR7" s="82">
        <v>10038568737851</v>
      </c>
      <c r="AS7" s="80">
        <v>19.84</v>
      </c>
      <c r="AT7" s="80">
        <v>2.34</v>
      </c>
      <c r="AU7" s="80">
        <v>11.26</v>
      </c>
      <c r="AV7" s="84"/>
      <c r="AW7" s="84"/>
      <c r="AX7" s="84"/>
      <c r="AY7" s="83">
        <f>19.92+(0.02*2)</f>
        <v>19.96</v>
      </c>
      <c r="AZ7" s="83">
        <f>11.42+(0.02*2)</f>
        <v>11.459999999999999</v>
      </c>
      <c r="BA7" s="83">
        <f>2.36+(0.02*4)</f>
        <v>2.44</v>
      </c>
      <c r="BB7" s="83">
        <f t="shared" si="0"/>
        <v>0.32299161111111113</v>
      </c>
      <c r="BC7" s="83">
        <f>1.4+0.1</f>
        <v>1.5</v>
      </c>
      <c r="BD7" s="76">
        <f>20.31+(0.125*2)</f>
        <v>20.56</v>
      </c>
      <c r="BE7" s="76">
        <f>11.81+(0.125*2)</f>
        <v>12.06</v>
      </c>
      <c r="BF7" s="76">
        <f>14.76+(0.125*4)</f>
        <v>15.26</v>
      </c>
      <c r="BG7" s="81">
        <f t="shared" si="1"/>
        <v>2.1896828333333334</v>
      </c>
      <c r="BH7" s="85">
        <f>(BC7*6)+0.25</f>
        <v>9.25</v>
      </c>
      <c r="BI7" s="53" t="s">
        <v>64</v>
      </c>
      <c r="BJ7" s="53">
        <v>6</v>
      </c>
      <c r="BK7" s="53">
        <v>6</v>
      </c>
      <c r="BL7" s="53">
        <v>3</v>
      </c>
      <c r="BM7" s="49">
        <f t="shared" si="2"/>
        <v>108</v>
      </c>
      <c r="BN7" s="49">
        <f t="shared" si="3"/>
        <v>216.5</v>
      </c>
      <c r="BO7" s="53" t="s">
        <v>69</v>
      </c>
      <c r="BP7" s="49" t="s">
        <v>67</v>
      </c>
      <c r="BQ7" s="71"/>
      <c r="BR7" s="71"/>
      <c r="BS7" s="71"/>
    </row>
    <row r="8" spans="1:71" s="1" customFormat="1" ht="15" customHeight="1" x14ac:dyDescent="0.25">
      <c r="A8" s="92">
        <v>41913</v>
      </c>
      <c r="B8" s="59"/>
      <c r="C8" s="73"/>
      <c r="D8" s="73"/>
      <c r="E8" s="47"/>
      <c r="F8" s="46"/>
      <c r="G8" s="35"/>
      <c r="H8" s="57"/>
      <c r="I8" s="57"/>
      <c r="J8" s="44"/>
      <c r="K8" s="45"/>
      <c r="L8" s="69"/>
      <c r="M8" s="69"/>
      <c r="N8" s="69"/>
      <c r="O8" s="69"/>
      <c r="P8" s="69"/>
      <c r="Q8" s="69"/>
      <c r="R8" s="69"/>
      <c r="S8" s="69"/>
      <c r="T8" s="44"/>
      <c r="U8" s="68"/>
      <c r="V8" s="44"/>
      <c r="W8" s="68"/>
      <c r="X8" s="44"/>
      <c r="Y8" s="68"/>
      <c r="Z8" s="44"/>
      <c r="AA8" s="44"/>
      <c r="AB8" s="57"/>
      <c r="AC8" s="57"/>
      <c r="AD8" s="57"/>
      <c r="AE8" s="57"/>
      <c r="AF8" s="57"/>
      <c r="AG8" s="57"/>
      <c r="AH8" s="57"/>
      <c r="AI8" s="43"/>
      <c r="AJ8" s="57"/>
      <c r="AK8" s="57"/>
      <c r="AL8" s="57"/>
      <c r="AM8" s="57"/>
      <c r="AN8" s="44"/>
      <c r="AO8" s="58"/>
      <c r="AP8" s="42"/>
      <c r="AQ8" s="48"/>
      <c r="AR8" s="48"/>
      <c r="AS8" s="48"/>
      <c r="AT8" s="48"/>
      <c r="AU8" s="48"/>
      <c r="AV8" s="51"/>
      <c r="AW8" s="51"/>
      <c r="AX8" s="48"/>
      <c r="AY8" s="222"/>
      <c r="AZ8" s="223"/>
      <c r="BA8" s="223"/>
      <c r="BB8" s="223"/>
      <c r="BC8" s="224"/>
      <c r="BD8" s="76"/>
      <c r="BE8" s="76"/>
      <c r="BF8" s="76"/>
      <c r="BG8" s="75"/>
      <c r="BH8" s="53"/>
      <c r="BI8" s="60"/>
      <c r="BJ8" s="53"/>
      <c r="BK8" s="53"/>
      <c r="BL8" s="53"/>
      <c r="BM8" s="49"/>
      <c r="BN8" s="49"/>
      <c r="BO8" s="49"/>
      <c r="BP8" s="49"/>
      <c r="BQ8" s="71"/>
      <c r="BR8" s="71"/>
      <c r="BS8" s="71"/>
    </row>
    <row r="9" spans="1:71" s="21" customFormat="1" x14ac:dyDescent="0.25">
      <c r="B9" s="18"/>
      <c r="C9" s="18"/>
      <c r="D9" s="18"/>
      <c r="E9" s="18"/>
      <c r="F9" s="18"/>
      <c r="G9" s="14"/>
      <c r="H9" s="4"/>
      <c r="I9" s="4"/>
      <c r="J9" s="4"/>
      <c r="T9" s="4"/>
      <c r="Z9" s="4"/>
      <c r="AA9" s="4"/>
      <c r="AO9" s="19"/>
      <c r="AP9" s="20"/>
      <c r="AQ9" s="4"/>
      <c r="AY9" s="13"/>
      <c r="AZ9" s="13"/>
      <c r="BA9" s="13"/>
      <c r="BB9" s="4"/>
      <c r="BC9" s="13"/>
      <c r="BD9" s="13"/>
      <c r="BE9" s="13"/>
      <c r="BF9" s="13"/>
      <c r="BG9" s="4"/>
      <c r="BH9" s="13"/>
      <c r="BI9" s="4"/>
      <c r="BJ9" s="4"/>
      <c r="BO9" s="4"/>
      <c r="BP9" s="14"/>
    </row>
    <row r="10" spans="1:71" ht="7.5" customHeight="1" x14ac:dyDescent="0.25">
      <c r="B10" s="28"/>
      <c r="C10" s="28"/>
      <c r="D10" s="28"/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9"/>
      <c r="U10" s="30"/>
      <c r="V10" s="30"/>
      <c r="W10" s="30"/>
      <c r="X10" s="30"/>
      <c r="Y10" s="30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  <c r="AP10" s="32"/>
      <c r="AQ10" s="29"/>
      <c r="AR10" s="30"/>
      <c r="AS10" s="30"/>
      <c r="AT10" s="30"/>
      <c r="AU10" s="30"/>
      <c r="AV10" s="30"/>
      <c r="AW10" s="30"/>
      <c r="AX10" s="30"/>
      <c r="AY10" s="33"/>
      <c r="AZ10" s="33"/>
      <c r="BA10" s="33"/>
      <c r="BB10" s="29"/>
      <c r="BC10" s="33"/>
      <c r="BD10" s="33"/>
      <c r="BE10" s="33"/>
      <c r="BF10" s="33"/>
      <c r="BG10" s="29"/>
      <c r="BH10" s="33"/>
      <c r="BI10" s="29"/>
      <c r="BJ10" s="29"/>
      <c r="BK10" s="30"/>
      <c r="BL10" s="30"/>
      <c r="BM10" s="30"/>
      <c r="BN10" s="30"/>
      <c r="BO10" s="29"/>
      <c r="BP10" s="34"/>
      <c r="BQ10" s="30"/>
      <c r="BR10" s="21"/>
      <c r="BS10" s="21"/>
    </row>
    <row r="11" spans="1:71" ht="7.5" customHeight="1" x14ac:dyDescent="0.25">
      <c r="B11" s="18"/>
      <c r="C11" s="18"/>
      <c r="D11" s="18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U11" s="21"/>
      <c r="V11" s="21"/>
      <c r="W11" s="21"/>
      <c r="X11" s="21"/>
      <c r="Y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9"/>
      <c r="AP11" s="20"/>
      <c r="AR11" s="21"/>
      <c r="AS11" s="21"/>
      <c r="AT11" s="21"/>
      <c r="AU11" s="21"/>
      <c r="AV11" s="21"/>
      <c r="AW11" s="21"/>
      <c r="AX11" s="21"/>
      <c r="AY11" s="13"/>
      <c r="AZ11" s="13"/>
      <c r="BA11" s="13"/>
      <c r="BC11" s="13"/>
      <c r="BD11" s="13"/>
      <c r="BE11" s="13"/>
      <c r="BF11" s="13"/>
      <c r="BH11" s="13"/>
      <c r="BK11" s="21"/>
      <c r="BL11" s="21"/>
      <c r="BM11" s="21"/>
      <c r="BN11" s="21"/>
      <c r="BP11" s="14"/>
      <c r="BQ11" s="21"/>
      <c r="BR11" s="21"/>
      <c r="BS11" s="21"/>
    </row>
    <row r="12" spans="1:71" ht="23.25" x14ac:dyDescent="0.25">
      <c r="B12" s="18"/>
      <c r="C12" s="18"/>
      <c r="D12" s="18"/>
      <c r="E12" s="27" t="s">
        <v>74</v>
      </c>
      <c r="G12" s="18"/>
      <c r="U12" s="21"/>
      <c r="V12" s="21"/>
      <c r="W12" s="21"/>
      <c r="Y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19"/>
      <c r="AP12" s="20"/>
      <c r="AR12" s="21"/>
      <c r="AS12" s="21"/>
      <c r="AT12" s="21"/>
      <c r="AU12" s="21"/>
      <c r="AV12" s="21"/>
      <c r="AW12" s="21"/>
      <c r="AX12" s="21"/>
      <c r="AY12" s="13"/>
      <c r="AZ12" s="13"/>
      <c r="BA12" s="13"/>
      <c r="BC12" s="13"/>
      <c r="BD12" s="13"/>
      <c r="BE12" s="13"/>
      <c r="BF12" s="13"/>
      <c r="BH12" s="13"/>
      <c r="BK12" s="21"/>
      <c r="BL12" s="21"/>
      <c r="BM12" s="21"/>
      <c r="BN12" s="21"/>
      <c r="BP12" s="14"/>
      <c r="BQ12" s="21"/>
      <c r="BR12" s="21"/>
      <c r="BS12" s="21"/>
    </row>
    <row r="13" spans="1:71" s="21" customFormat="1" x14ac:dyDescent="0.25">
      <c r="B13" s="18"/>
      <c r="C13" s="18"/>
      <c r="D13" s="18"/>
      <c r="E13" s="18"/>
      <c r="F13" s="18"/>
      <c r="G13" s="1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9"/>
      <c r="AP13" s="20"/>
      <c r="AQ13" s="4"/>
      <c r="AR13" s="4"/>
      <c r="AS13" s="4"/>
      <c r="AT13" s="4"/>
      <c r="AU13" s="4"/>
      <c r="AV13" s="4"/>
      <c r="AW13" s="4"/>
      <c r="AX13" s="4"/>
      <c r="AY13" s="13"/>
      <c r="AZ13" s="13"/>
      <c r="BA13" s="13"/>
      <c r="BB13" s="4"/>
      <c r="BC13" s="13"/>
      <c r="BD13" s="13"/>
      <c r="BE13" s="13"/>
      <c r="BF13" s="13"/>
      <c r="BG13" s="4"/>
      <c r="BH13" s="13"/>
      <c r="BI13" s="4"/>
      <c r="BJ13" s="4"/>
      <c r="BK13" s="4"/>
      <c r="BL13" s="4"/>
      <c r="BO13" s="4"/>
      <c r="BP13" s="14"/>
      <c r="BQ13" s="4"/>
      <c r="BR13" s="4"/>
      <c r="BS13" s="4"/>
    </row>
    <row r="14" spans="1:71" x14ac:dyDescent="0.25">
      <c r="B14" s="18"/>
      <c r="C14" s="18"/>
      <c r="D14" s="18"/>
      <c r="E14" s="5" t="s">
        <v>75</v>
      </c>
      <c r="F14" s="7" t="s">
        <v>87</v>
      </c>
      <c r="G14" s="7" t="s">
        <v>76</v>
      </c>
      <c r="AO14" s="19"/>
      <c r="AP14" s="20"/>
      <c r="AY14" s="13"/>
      <c r="AZ14" s="13"/>
      <c r="BA14" s="13"/>
      <c r="BC14" s="13"/>
      <c r="BD14" s="13"/>
      <c r="BE14" s="13"/>
      <c r="BF14" s="13"/>
      <c r="BH14" s="13"/>
      <c r="BM14" s="21"/>
      <c r="BN14" s="21"/>
      <c r="BP14" s="14"/>
    </row>
    <row r="15" spans="1:71" x14ac:dyDescent="0.25">
      <c r="A15" s="92">
        <v>41913</v>
      </c>
      <c r="B15" s="90" t="s">
        <v>95</v>
      </c>
      <c r="C15" s="23" t="s">
        <v>73</v>
      </c>
      <c r="D15" s="51" t="s">
        <v>90</v>
      </c>
      <c r="E15" s="91">
        <v>41927</v>
      </c>
      <c r="F15" s="58">
        <v>174.64</v>
      </c>
      <c r="G15" s="58">
        <v>141.44</v>
      </c>
      <c r="AO15" s="19"/>
      <c r="AP15" s="20"/>
      <c r="AY15" s="13"/>
      <c r="AZ15" s="13"/>
      <c r="BA15" s="13"/>
      <c r="BC15" s="13"/>
      <c r="BD15" s="13"/>
      <c r="BE15" s="13"/>
      <c r="BF15" s="13"/>
      <c r="BH15" s="13"/>
      <c r="BM15" s="21"/>
      <c r="BN15" s="21"/>
      <c r="BP15" s="14"/>
    </row>
    <row r="16" spans="1:71" x14ac:dyDescent="0.25">
      <c r="B16" s="23" t="s">
        <v>110</v>
      </c>
      <c r="C16" s="23" t="s">
        <v>73</v>
      </c>
      <c r="D16" s="23" t="s">
        <v>89</v>
      </c>
      <c r="E16" s="91">
        <v>41901</v>
      </c>
      <c r="F16" s="58">
        <v>80.08</v>
      </c>
      <c r="G16" s="58">
        <v>52.43</v>
      </c>
      <c r="AO16" s="19"/>
      <c r="AP16" s="20"/>
      <c r="AY16" s="13"/>
      <c r="AZ16" s="13"/>
      <c r="BA16" s="13"/>
      <c r="BC16" s="13"/>
      <c r="BD16" s="13"/>
      <c r="BE16" s="13"/>
      <c r="BF16" s="13"/>
      <c r="BH16" s="13"/>
      <c r="BM16" s="21"/>
      <c r="BN16" s="21"/>
      <c r="BP16" s="14"/>
    </row>
    <row r="17" spans="2:71" x14ac:dyDescent="0.25">
      <c r="B17" s="23"/>
      <c r="C17" s="23"/>
      <c r="D17" s="23"/>
      <c r="E17" s="62"/>
      <c r="F17" s="58"/>
      <c r="G17" s="5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U17" s="21"/>
      <c r="V17" s="21"/>
      <c r="W17" s="21"/>
      <c r="X17" s="21"/>
      <c r="Y17" s="21"/>
      <c r="AD17" s="21"/>
      <c r="AE17" s="21"/>
      <c r="AF17" s="21"/>
      <c r="AG17" s="21"/>
      <c r="AH17" s="21"/>
      <c r="AI17" s="21"/>
      <c r="AL17" s="21"/>
      <c r="AM17" s="21"/>
      <c r="AN17" s="21"/>
      <c r="AO17" s="19"/>
      <c r="AP17" s="20"/>
      <c r="AR17" s="21"/>
      <c r="AS17" s="21"/>
      <c r="AT17" s="21"/>
      <c r="AU17" s="21"/>
      <c r="AV17" s="21"/>
      <c r="AW17" s="21"/>
      <c r="AX17" s="21"/>
      <c r="AY17" s="13"/>
      <c r="AZ17" s="13"/>
      <c r="BA17" s="13"/>
      <c r="BC17" s="13"/>
      <c r="BD17" s="13"/>
      <c r="BE17" s="13"/>
      <c r="BF17" s="13"/>
      <c r="BH17" s="13"/>
      <c r="BK17" s="21"/>
      <c r="BL17" s="21"/>
      <c r="BM17" s="21"/>
      <c r="BN17" s="21"/>
      <c r="BP17" s="14"/>
      <c r="BQ17" s="21"/>
      <c r="BR17" s="21"/>
      <c r="BS17" s="21"/>
    </row>
    <row r="18" spans="2:71" x14ac:dyDescent="0.25">
      <c r="B18" s="18"/>
      <c r="C18" s="18"/>
      <c r="D18" s="18"/>
      <c r="E18" s="18"/>
      <c r="F18" s="18"/>
      <c r="G18" s="18"/>
      <c r="AP18" s="20"/>
      <c r="AQ18" s="21"/>
      <c r="BN18" s="21"/>
      <c r="BP18" s="14"/>
    </row>
    <row r="19" spans="2:71" ht="7.5" customHeight="1" x14ac:dyDescent="0.25">
      <c r="B19" s="28"/>
      <c r="C19" s="28"/>
      <c r="D19" s="28"/>
      <c r="E19" s="28"/>
      <c r="F19" s="28"/>
      <c r="G19" s="2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  <c r="V19" s="21"/>
      <c r="W19" s="21"/>
      <c r="X19" s="21"/>
      <c r="Y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9"/>
      <c r="AP19" s="20"/>
      <c r="AR19" s="21"/>
      <c r="AS19" s="21"/>
      <c r="AT19" s="21"/>
      <c r="AU19" s="21"/>
      <c r="AV19" s="21"/>
      <c r="AW19" s="21"/>
      <c r="AX19" s="21"/>
      <c r="AY19" s="13"/>
      <c r="AZ19" s="13"/>
      <c r="BA19" s="13"/>
      <c r="BC19" s="13"/>
      <c r="BD19" s="13"/>
      <c r="BE19" s="13"/>
      <c r="BF19" s="13"/>
      <c r="BH19" s="13"/>
      <c r="BK19" s="21"/>
      <c r="BL19" s="21"/>
      <c r="BM19" s="21"/>
      <c r="BN19" s="21"/>
      <c r="BP19" s="14"/>
      <c r="BQ19" s="21"/>
      <c r="BR19" s="21"/>
      <c r="BS19" s="21"/>
    </row>
    <row r="20" spans="2:71" ht="7.5" customHeight="1" x14ac:dyDescent="0.25">
      <c r="B20" s="18"/>
      <c r="C20" s="18"/>
      <c r="D20" s="18"/>
      <c r="E20" s="18"/>
      <c r="F20" s="18"/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U20" s="21"/>
      <c r="V20" s="21"/>
      <c r="W20" s="21"/>
      <c r="X20" s="21"/>
      <c r="Y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19"/>
      <c r="AP20" s="20"/>
      <c r="AR20" s="21"/>
      <c r="AS20" s="21"/>
      <c r="AT20" s="21"/>
      <c r="AU20" s="21"/>
      <c r="AV20" s="21"/>
      <c r="AW20" s="21"/>
      <c r="AX20" s="21"/>
      <c r="AY20" s="13"/>
      <c r="AZ20" s="13"/>
      <c r="BA20" s="13"/>
      <c r="BC20" s="13"/>
      <c r="BD20" s="13"/>
      <c r="BE20" s="13"/>
      <c r="BF20" s="13"/>
      <c r="BH20" s="13"/>
      <c r="BK20" s="21"/>
      <c r="BL20" s="21"/>
      <c r="BM20" s="21"/>
      <c r="BN20" s="21"/>
      <c r="BP20" s="14"/>
      <c r="BQ20" s="21"/>
      <c r="BR20" s="21"/>
      <c r="BS20" s="21"/>
    </row>
    <row r="21" spans="2:71" ht="23.25" x14ac:dyDescent="0.25">
      <c r="B21" s="18"/>
      <c r="C21" s="18"/>
      <c r="D21" s="18"/>
      <c r="E21" s="41" t="s">
        <v>79</v>
      </c>
      <c r="G21" s="18"/>
      <c r="AP21" s="20"/>
      <c r="AQ21" s="21"/>
      <c r="BN21" s="21"/>
      <c r="BP21" s="14"/>
    </row>
    <row r="22" spans="2:71" ht="16.5" customHeight="1" x14ac:dyDescent="0.25">
      <c r="B22" s="18"/>
      <c r="C22" s="18"/>
      <c r="D22" s="18"/>
      <c r="E22" s="18"/>
      <c r="F22" s="26"/>
      <c r="G22" s="18"/>
      <c r="AP22" s="20"/>
      <c r="AQ22" s="21"/>
      <c r="BN22" s="21"/>
      <c r="BP22" s="14"/>
    </row>
    <row r="23" spans="2:71" s="15" customFormat="1" x14ac:dyDescent="0.25">
      <c r="B23" s="4"/>
      <c r="C23" s="4"/>
      <c r="D23" s="4"/>
      <c r="E23" s="5" t="s">
        <v>77</v>
      </c>
      <c r="F23" s="39" t="s">
        <v>78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9"/>
      <c r="AP23" s="20"/>
      <c r="AQ23" s="21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1"/>
      <c r="BO23" s="4"/>
      <c r="BP23" s="4"/>
      <c r="BQ23" s="4"/>
      <c r="BR23" s="4"/>
      <c r="BS23" s="4"/>
    </row>
    <row r="24" spans="2:71" x14ac:dyDescent="0.25">
      <c r="B24" s="25"/>
      <c r="C24" s="24"/>
      <c r="D24" s="24"/>
      <c r="E24" s="35"/>
      <c r="F24" s="40"/>
      <c r="G24" s="38"/>
      <c r="AO24" s="19"/>
      <c r="AP24" s="20"/>
      <c r="AQ24" s="21"/>
      <c r="BN24" s="21"/>
    </row>
    <row r="25" spans="2:71" x14ac:dyDescent="0.25">
      <c r="B25" s="36"/>
      <c r="C25" s="24"/>
      <c r="D25" s="24"/>
      <c r="E25" s="35"/>
      <c r="F25" s="37"/>
      <c r="G25" s="38"/>
      <c r="AO25" s="19"/>
      <c r="AP25" s="20"/>
      <c r="AQ25" s="21"/>
      <c r="BN25" s="21"/>
    </row>
    <row r="26" spans="2:71" x14ac:dyDescent="0.25">
      <c r="B26" s="36"/>
      <c r="C26" s="24"/>
      <c r="D26" s="24"/>
      <c r="E26" s="35"/>
      <c r="F26" s="37"/>
      <c r="G26" s="38"/>
      <c r="U26" s="21"/>
      <c r="V26" s="21"/>
      <c r="W26" s="21"/>
      <c r="Y26" s="21"/>
      <c r="AA26" s="21"/>
      <c r="AB26" s="21"/>
      <c r="AD26" s="21"/>
      <c r="AE26" s="21"/>
      <c r="AG26" s="21"/>
      <c r="AH26" s="21"/>
      <c r="AI26" s="21"/>
      <c r="AJ26" s="21"/>
      <c r="AK26" s="21"/>
      <c r="AL26" s="21"/>
      <c r="AM26" s="21"/>
      <c r="AN26" s="21"/>
      <c r="AO26" s="19"/>
      <c r="AP26" s="20"/>
      <c r="AQ26" s="21"/>
      <c r="AR26" s="21"/>
      <c r="AS26" s="21"/>
      <c r="AT26" s="21"/>
      <c r="AU26" s="21"/>
      <c r="AV26" s="21"/>
      <c r="AW26" s="21"/>
      <c r="AX26" s="21"/>
      <c r="AZ26" s="21"/>
      <c r="BA26" s="21"/>
      <c r="BB26" s="21"/>
      <c r="BC26" s="21"/>
      <c r="BD26" s="21"/>
      <c r="BE26" s="21"/>
      <c r="BF26" s="21"/>
      <c r="BG26" s="21"/>
      <c r="BH26" s="21"/>
      <c r="BJ26" s="21"/>
      <c r="BK26" s="21"/>
      <c r="BL26" s="21"/>
      <c r="BM26" s="21"/>
      <c r="BN26" s="21"/>
      <c r="BO26" s="21"/>
      <c r="BP26" s="14"/>
      <c r="BQ26" s="21"/>
      <c r="BR26" s="21"/>
      <c r="BS26" s="21"/>
    </row>
    <row r="27" spans="2:71" s="15" customFormat="1" x14ac:dyDescent="0.25">
      <c r="B27" s="25"/>
      <c r="C27" s="24"/>
      <c r="D27" s="24"/>
      <c r="E27" s="35"/>
      <c r="F27" s="40"/>
      <c r="G27" s="3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2:71" s="15" customFormat="1" x14ac:dyDescent="0.25">
      <c r="B28" s="25"/>
      <c r="C28" s="23"/>
      <c r="D28" s="24"/>
      <c r="E28" s="35"/>
      <c r="F28" s="40"/>
      <c r="G28" s="38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2:71" s="15" customFormat="1" x14ac:dyDescent="0.25">
      <c r="B29" s="25"/>
      <c r="C29" s="24"/>
      <c r="D29" s="24"/>
      <c r="E29" s="35"/>
      <c r="F29" s="40"/>
      <c r="G29" s="3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2:71" s="15" customFormat="1" x14ac:dyDescent="0.25">
      <c r="B30" s="25"/>
      <c r="C30" s="24"/>
      <c r="D30" s="24"/>
      <c r="E30" s="35"/>
      <c r="F30" s="40"/>
      <c r="G30" s="3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2:71" s="15" customFormat="1" x14ac:dyDescent="0.25">
      <c r="B31" s="36"/>
      <c r="C31" s="24"/>
      <c r="D31" s="24"/>
      <c r="E31" s="35"/>
      <c r="F31" s="37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2:71" s="15" customFormat="1" x14ac:dyDescent="0.25">
      <c r="B32" s="36"/>
      <c r="C32" s="24"/>
      <c r="D32" s="24"/>
      <c r="E32" s="35"/>
      <c r="F32" s="37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2:71" s="15" customFormat="1" x14ac:dyDescent="0.25">
      <c r="B33" s="36"/>
      <c r="C33" s="24"/>
      <c r="D33" s="24"/>
      <c r="E33" s="35"/>
      <c r="F33" s="37"/>
      <c r="G33" s="3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2:71" s="15" customFormat="1" x14ac:dyDescent="0.25">
      <c r="B34" s="36"/>
      <c r="C34" s="24"/>
      <c r="D34" s="24"/>
      <c r="E34" s="35"/>
      <c r="F34" s="37"/>
      <c r="G34" s="3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2:71" s="15" customFormat="1" x14ac:dyDescent="0.25">
      <c r="B35" s="25"/>
      <c r="C35" s="24"/>
      <c r="D35" s="24"/>
      <c r="E35" s="35"/>
      <c r="F35" s="40"/>
      <c r="G35" s="3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2:71" s="15" customFormat="1" x14ac:dyDescent="0.25">
      <c r="B36" s="25"/>
      <c r="C36" s="24"/>
      <c r="D36" s="24"/>
      <c r="E36" s="35"/>
      <c r="F36" s="40"/>
      <c r="G36" s="3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s="15" customFormat="1" x14ac:dyDescent="0.25">
      <c r="B37" s="25"/>
      <c r="C37" s="24"/>
      <c r="D37" s="24"/>
      <c r="E37" s="35"/>
      <c r="F37" s="40"/>
      <c r="G37" s="3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s="15" customFormat="1" x14ac:dyDescent="0.25">
      <c r="B38" s="25"/>
      <c r="C38" s="24"/>
      <c r="D38" s="24"/>
      <c r="E38" s="35"/>
      <c r="F38" s="40"/>
      <c r="G38" s="3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s="15" customFormat="1" x14ac:dyDescent="0.25">
      <c r="B39" s="36"/>
      <c r="C39" s="24"/>
      <c r="D39" s="24"/>
      <c r="E39" s="35"/>
      <c r="F39" s="37"/>
      <c r="G39" s="3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15" customFormat="1" x14ac:dyDescent="0.25">
      <c r="B40" s="36"/>
      <c r="C40" s="24"/>
      <c r="D40" s="24"/>
      <c r="E40" s="35"/>
      <c r="F40" s="37"/>
      <c r="G40" s="3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15" customFormat="1" x14ac:dyDescent="0.25">
      <c r="B41" s="25"/>
      <c r="C41" s="23"/>
      <c r="D41" s="24"/>
      <c r="E41" s="35"/>
      <c r="F41" s="40"/>
      <c r="G41" s="3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15" customFormat="1" x14ac:dyDescent="0.25">
      <c r="B42" s="25"/>
      <c r="C42" s="23"/>
      <c r="D42" s="24"/>
      <c r="E42" s="35"/>
      <c r="F42" s="40"/>
      <c r="G42" s="3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15" customFormat="1" x14ac:dyDescent="0.25">
      <c r="B43" s="21"/>
      <c r="C43" s="2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15" customFormat="1" x14ac:dyDescent="0.25">
      <c r="B44" s="21"/>
      <c r="C44" s="2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15" customFormat="1" x14ac:dyDescent="0.25">
      <c r="B45" s="21"/>
      <c r="C45" s="2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15" customFormat="1" x14ac:dyDescent="0.25">
      <c r="B46" s="21"/>
      <c r="C46" s="2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s="15" customFormat="1" x14ac:dyDescent="0.25">
      <c r="B47" s="21"/>
      <c r="C47" s="2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15" customFormat="1" x14ac:dyDescent="0.25">
      <c r="B48" s="21"/>
      <c r="C48" s="2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s="15" customFormat="1" x14ac:dyDescent="0.25">
      <c r="B49" s="21"/>
      <c r="C49" s="2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s="15" customFormat="1" x14ac:dyDescent="0.25">
      <c r="B50" s="21"/>
      <c r="C50" s="2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s="15" customFormat="1" x14ac:dyDescent="0.25">
      <c r="B51" s="21"/>
      <c r="C51" s="2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s="15" customFormat="1" x14ac:dyDescent="0.25">
      <c r="B52" s="21"/>
      <c r="C52" s="2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s="15" customFormat="1" x14ac:dyDescent="0.25">
      <c r="B53" s="21"/>
      <c r="C53" s="2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s="15" customFormat="1" x14ac:dyDescent="0.25">
      <c r="B54" s="21"/>
      <c r="C54" s="2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s="15" customFormat="1" x14ac:dyDescent="0.25">
      <c r="B55" s="21"/>
      <c r="C55" s="2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s="15" customFormat="1" x14ac:dyDescent="0.25">
      <c r="B56" s="21"/>
      <c r="C56" s="2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5" customFormat="1" x14ac:dyDescent="0.25">
      <c r="B57" s="21"/>
      <c r="C57" s="2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s="15" customFormat="1" x14ac:dyDescent="0.25">
      <c r="B58" s="21"/>
      <c r="C58" s="2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s="15" customFormat="1" x14ac:dyDescent="0.25">
      <c r="B59" s="21"/>
      <c r="C59" s="2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s="15" customFormat="1" x14ac:dyDescent="0.25">
      <c r="B60" s="21"/>
      <c r="C60" s="2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s="15" customFormat="1" x14ac:dyDescent="0.25">
      <c r="B61" s="21"/>
      <c r="C61" s="2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s="15" customFormat="1" x14ac:dyDescent="0.25">
      <c r="B62" s="21"/>
      <c r="C62" s="2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s="15" customFormat="1" x14ac:dyDescent="0.25">
      <c r="B63" s="21"/>
      <c r="C63" s="2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s="15" customFormat="1" x14ac:dyDescent="0.25">
      <c r="B64" s="21"/>
      <c r="C64" s="2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2:71" s="15" customFormat="1" x14ac:dyDescent="0.25">
      <c r="B65" s="21"/>
      <c r="C65" s="2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2:71" s="15" customFormat="1" x14ac:dyDescent="0.25">
      <c r="B66" s="21"/>
      <c r="C66" s="2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2:71" s="15" customFormat="1" x14ac:dyDescent="0.25">
      <c r="B67" s="21"/>
      <c r="C67" s="2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2:71" s="15" customFormat="1" x14ac:dyDescent="0.25">
      <c r="B68" s="21"/>
      <c r="C68" s="2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2:71" s="15" customFormat="1" x14ac:dyDescent="0.25">
      <c r="B69" s="21"/>
      <c r="C69" s="2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2:71" s="15" customFormat="1" x14ac:dyDescent="0.25">
      <c r="B70" s="21"/>
      <c r="C70" s="2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2:71" s="15" customFormat="1" x14ac:dyDescent="0.25">
      <c r="B71" s="21"/>
      <c r="C71" s="2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71" s="15" customFormat="1" x14ac:dyDescent="0.25">
      <c r="B72" s="21"/>
      <c r="C72" s="2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2:71" s="15" customFormat="1" x14ac:dyDescent="0.25">
      <c r="B73" s="21"/>
      <c r="C73" s="2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2:71" s="15" customFormat="1" x14ac:dyDescent="0.25">
      <c r="B74" s="21"/>
      <c r="C74" s="2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2:71" s="15" customFormat="1" x14ac:dyDescent="0.25">
      <c r="B75" s="21"/>
      <c r="C75" s="2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2:71" s="15" customFormat="1" x14ac:dyDescent="0.25">
      <c r="B76" s="21"/>
      <c r="C76" s="2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2:71" s="15" customFormat="1" x14ac:dyDescent="0.25">
      <c r="B77" s="21"/>
      <c r="C77" s="2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2:71" s="15" customFormat="1" x14ac:dyDescent="0.25">
      <c r="B78" s="21"/>
      <c r="C78" s="2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2:71" s="15" customFormat="1" x14ac:dyDescent="0.25">
      <c r="B79" s="21"/>
      <c r="C79" s="2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2:71" s="15" customFormat="1" x14ac:dyDescent="0.25">
      <c r="B80" s="21"/>
      <c r="C80" s="2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2:71" s="15" customFormat="1" x14ac:dyDescent="0.25">
      <c r="B81" s="21"/>
      <c r="C81" s="2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2:71" s="15" customFormat="1" x14ac:dyDescent="0.25">
      <c r="B82" s="21"/>
      <c r="C82" s="2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2:71" s="15" customFormat="1" x14ac:dyDescent="0.25">
      <c r="B83" s="21"/>
      <c r="C83" s="2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2:71" s="15" customFormat="1" x14ac:dyDescent="0.25">
      <c r="B84" s="21"/>
      <c r="C84" s="2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2:71" s="15" customFormat="1" x14ac:dyDescent="0.25">
      <c r="B85" s="21"/>
      <c r="C85" s="2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2:71" s="15" customFormat="1" x14ac:dyDescent="0.25">
      <c r="B86" s="21"/>
      <c r="C86" s="2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2:71" s="15" customFormat="1" x14ac:dyDescent="0.25">
      <c r="B87" s="21"/>
      <c r="C87" s="2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2:71" s="15" customFormat="1" x14ac:dyDescent="0.25">
      <c r="B88" s="21"/>
      <c r="C88" s="2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2:71" s="15" customFormat="1" x14ac:dyDescent="0.25">
      <c r="B89" s="21"/>
      <c r="C89" s="2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2:71" s="15" customFormat="1" x14ac:dyDescent="0.25">
      <c r="B90" s="21"/>
      <c r="C90" s="2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2:71" s="15" customFormat="1" x14ac:dyDescent="0.25">
      <c r="B91" s="21"/>
      <c r="C91" s="2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2:71" s="15" customFormat="1" x14ac:dyDescent="0.25">
      <c r="B92" s="21"/>
      <c r="C92" s="2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2:71" s="15" customFormat="1" x14ac:dyDescent="0.25">
      <c r="B93" s="21"/>
      <c r="C93" s="2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2:71" s="15" customFormat="1" x14ac:dyDescent="0.25">
      <c r="B94" s="21"/>
      <c r="C94" s="2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2:71" s="15" customFormat="1" x14ac:dyDescent="0.25">
      <c r="B95" s="21"/>
      <c r="C95" s="2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2:71" s="15" customFormat="1" x14ac:dyDescent="0.25">
      <c r="B96" s="21"/>
      <c r="C96" s="2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2:71" s="15" customFormat="1" x14ac:dyDescent="0.25">
      <c r="B97" s="21"/>
      <c r="C97" s="2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2:71" s="15" customFormat="1" x14ac:dyDescent="0.25">
      <c r="B98" s="21"/>
      <c r="C98" s="2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2:71" s="15" customFormat="1" x14ac:dyDescent="0.25">
      <c r="B99" s="21"/>
      <c r="C99" s="2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2:71" s="15" customFormat="1" x14ac:dyDescent="0.25">
      <c r="B100" s="21"/>
      <c r="C100" s="2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2:71" s="15" customFormat="1" x14ac:dyDescent="0.25">
      <c r="B101" s="21"/>
      <c r="C101" s="2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2:71" s="15" customFormat="1" x14ac:dyDescent="0.25">
      <c r="B102" s="21"/>
      <c r="C102" s="2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2:71" s="15" customFormat="1" x14ac:dyDescent="0.25">
      <c r="B103" s="21"/>
      <c r="C103" s="2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2:71" s="15" customFormat="1" x14ac:dyDescent="0.25">
      <c r="B104" s="21"/>
      <c r="C104" s="2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2:71" s="15" customFormat="1" x14ac:dyDescent="0.25">
      <c r="B105" s="21"/>
      <c r="C105" s="2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2:71" s="15" customFormat="1" x14ac:dyDescent="0.25">
      <c r="B106" s="21"/>
      <c r="C106" s="2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2:71" s="15" customFormat="1" x14ac:dyDescent="0.25">
      <c r="B107" s="21"/>
      <c r="C107" s="2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2:71" s="15" customFormat="1" x14ac:dyDescent="0.25">
      <c r="B108" s="21"/>
      <c r="C108" s="2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2:71" s="15" customFormat="1" x14ac:dyDescent="0.25">
      <c r="B109" s="21"/>
      <c r="C109" s="2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2:71" s="15" customFormat="1" x14ac:dyDescent="0.25">
      <c r="B110" s="21"/>
      <c r="C110" s="2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2:71" s="15" customFormat="1" x14ac:dyDescent="0.25">
      <c r="B111" s="21"/>
      <c r="C111" s="2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2:71" s="15" customFormat="1" x14ac:dyDescent="0.25">
      <c r="B112" s="21"/>
      <c r="C112" s="2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s="15" customFormat="1" x14ac:dyDescent="0.25">
      <c r="B113" s="21"/>
      <c r="C113" s="2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s="15" customFormat="1" x14ac:dyDescent="0.25">
      <c r="B114" s="21"/>
      <c r="C114" s="2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s="15" customFormat="1" x14ac:dyDescent="0.25">
      <c r="B115" s="21"/>
      <c r="C115" s="2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s="15" customFormat="1" x14ac:dyDescent="0.25">
      <c r="B116" s="21"/>
      <c r="C116" s="2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s="15" customFormat="1" x14ac:dyDescent="0.25">
      <c r="B117" s="21"/>
      <c r="C117" s="2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s="15" customFormat="1" x14ac:dyDescent="0.25">
      <c r="B118" s="21"/>
      <c r="C118" s="2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s="15" customFormat="1" x14ac:dyDescent="0.25">
      <c r="B119" s="21"/>
      <c r="C119" s="2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s="15" customFormat="1" x14ac:dyDescent="0.25">
      <c r="B120" s="21"/>
      <c r="C120" s="2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s="15" customFormat="1" x14ac:dyDescent="0.25">
      <c r="B121" s="21"/>
      <c r="C121" s="2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s="15" customFormat="1" x14ac:dyDescent="0.25">
      <c r="B122" s="21"/>
      <c r="C122" s="2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s="15" customFormat="1" x14ac:dyDescent="0.25">
      <c r="B123" s="21"/>
      <c r="C123" s="2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s="15" customFormat="1" x14ac:dyDescent="0.25">
      <c r="B124" s="21"/>
      <c r="C124" s="2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s="15" customFormat="1" x14ac:dyDescent="0.25">
      <c r="B125" s="21"/>
      <c r="C125" s="2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s="15" customFormat="1" x14ac:dyDescent="0.25">
      <c r="B126" s="21"/>
      <c r="C126" s="2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s="15" customFormat="1" x14ac:dyDescent="0.25">
      <c r="B127" s="21"/>
      <c r="C127" s="2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s="15" customFormat="1" x14ac:dyDescent="0.25">
      <c r="B128" s="21"/>
      <c r="C128" s="2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s="15" customFormat="1" x14ac:dyDescent="0.25">
      <c r="B129" s="21"/>
      <c r="C129" s="2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2:71" s="15" customFormat="1" x14ac:dyDescent="0.25">
      <c r="B130" s="21"/>
      <c r="C130" s="2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2:71" s="15" customFormat="1" x14ac:dyDescent="0.25">
      <c r="B131" s="21"/>
      <c r="C131" s="2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2:71" s="15" customFormat="1" x14ac:dyDescent="0.25">
      <c r="B132" s="21"/>
      <c r="C132" s="2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2:71" s="15" customFormat="1" x14ac:dyDescent="0.25">
      <c r="B133" s="21"/>
      <c r="C133" s="2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2:71" s="15" customFormat="1" x14ac:dyDescent="0.25">
      <c r="B134" s="21"/>
      <c r="C134" s="2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2:71" s="15" customFormat="1" x14ac:dyDescent="0.25">
      <c r="B135" s="21"/>
      <c r="C135" s="2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2:71" s="15" customFormat="1" x14ac:dyDescent="0.25">
      <c r="B136" s="21"/>
      <c r="C136" s="2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2:71" s="15" customFormat="1" x14ac:dyDescent="0.25">
      <c r="B137" s="21"/>
      <c r="C137" s="2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2:71" s="15" customFormat="1" x14ac:dyDescent="0.25">
      <c r="B138" s="21"/>
      <c r="C138" s="2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2:71" s="15" customFormat="1" x14ac:dyDescent="0.25">
      <c r="B139" s="21"/>
      <c r="C139" s="2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2:71" s="15" customFormat="1" x14ac:dyDescent="0.25">
      <c r="B140" s="21"/>
      <c r="C140" s="2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2:71" s="15" customFormat="1" x14ac:dyDescent="0.25">
      <c r="B141" s="21"/>
      <c r="C141" s="2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2:71" s="15" customFormat="1" x14ac:dyDescent="0.25">
      <c r="B142" s="21"/>
      <c r="C142" s="2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2:71" s="15" customFormat="1" x14ac:dyDescent="0.25">
      <c r="B143" s="21"/>
      <c r="C143" s="2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2:71" s="15" customFormat="1" x14ac:dyDescent="0.25">
      <c r="B144" s="21"/>
      <c r="C144" s="2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2:71" s="15" customFormat="1" x14ac:dyDescent="0.25">
      <c r="B145" s="21"/>
      <c r="C145" s="2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</sheetData>
  <mergeCells count="8">
    <mergeCell ref="BI4:BP4"/>
    <mergeCell ref="AY8:BC8"/>
    <mergeCell ref="BD4:BH4"/>
    <mergeCell ref="T4:AN4"/>
    <mergeCell ref="AO4:AP4"/>
    <mergeCell ref="AQ4:AR4"/>
    <mergeCell ref="AY4:BC4"/>
    <mergeCell ref="AS4:AX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73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13.7109375" customWidth="1"/>
    <col min="2" max="2" width="12.28515625" bestFit="1" customWidth="1"/>
    <col min="257" max="257" width="13.7109375" customWidth="1"/>
    <col min="258" max="258" width="12.28515625" bestFit="1" customWidth="1"/>
    <col min="513" max="513" width="13.7109375" customWidth="1"/>
    <col min="514" max="514" width="12.28515625" bestFit="1" customWidth="1"/>
    <col min="769" max="769" width="13.7109375" customWidth="1"/>
    <col min="770" max="770" width="12.28515625" bestFit="1" customWidth="1"/>
    <col min="1025" max="1025" width="13.7109375" customWidth="1"/>
    <col min="1026" max="1026" width="12.28515625" bestFit="1" customWidth="1"/>
    <col min="1281" max="1281" width="13.7109375" customWidth="1"/>
    <col min="1282" max="1282" width="12.28515625" bestFit="1" customWidth="1"/>
    <col min="1537" max="1537" width="13.7109375" customWidth="1"/>
    <col min="1538" max="1538" width="12.28515625" bestFit="1" customWidth="1"/>
    <col min="1793" max="1793" width="13.7109375" customWidth="1"/>
    <col min="1794" max="1794" width="12.28515625" bestFit="1" customWidth="1"/>
    <col min="2049" max="2049" width="13.7109375" customWidth="1"/>
    <col min="2050" max="2050" width="12.28515625" bestFit="1" customWidth="1"/>
    <col min="2305" max="2305" width="13.7109375" customWidth="1"/>
    <col min="2306" max="2306" width="12.28515625" bestFit="1" customWidth="1"/>
    <col min="2561" max="2561" width="13.7109375" customWidth="1"/>
    <col min="2562" max="2562" width="12.28515625" bestFit="1" customWidth="1"/>
    <col min="2817" max="2817" width="13.7109375" customWidth="1"/>
    <col min="2818" max="2818" width="12.28515625" bestFit="1" customWidth="1"/>
    <col min="3073" max="3073" width="13.7109375" customWidth="1"/>
    <col min="3074" max="3074" width="12.28515625" bestFit="1" customWidth="1"/>
    <col min="3329" max="3329" width="13.7109375" customWidth="1"/>
    <col min="3330" max="3330" width="12.28515625" bestFit="1" customWidth="1"/>
    <col min="3585" max="3585" width="13.7109375" customWidth="1"/>
    <col min="3586" max="3586" width="12.28515625" bestFit="1" customWidth="1"/>
    <col min="3841" max="3841" width="13.7109375" customWidth="1"/>
    <col min="3842" max="3842" width="12.28515625" bestFit="1" customWidth="1"/>
    <col min="4097" max="4097" width="13.7109375" customWidth="1"/>
    <col min="4098" max="4098" width="12.28515625" bestFit="1" customWidth="1"/>
    <col min="4353" max="4353" width="13.7109375" customWidth="1"/>
    <col min="4354" max="4354" width="12.28515625" bestFit="1" customWidth="1"/>
    <col min="4609" max="4609" width="13.7109375" customWidth="1"/>
    <col min="4610" max="4610" width="12.28515625" bestFit="1" customWidth="1"/>
    <col min="4865" max="4865" width="13.7109375" customWidth="1"/>
    <col min="4866" max="4866" width="12.28515625" bestFit="1" customWidth="1"/>
    <col min="5121" max="5121" width="13.7109375" customWidth="1"/>
    <col min="5122" max="5122" width="12.28515625" bestFit="1" customWidth="1"/>
    <col min="5377" max="5377" width="13.7109375" customWidth="1"/>
    <col min="5378" max="5378" width="12.28515625" bestFit="1" customWidth="1"/>
    <col min="5633" max="5633" width="13.7109375" customWidth="1"/>
    <col min="5634" max="5634" width="12.28515625" bestFit="1" customWidth="1"/>
    <col min="5889" max="5889" width="13.7109375" customWidth="1"/>
    <col min="5890" max="5890" width="12.28515625" bestFit="1" customWidth="1"/>
    <col min="6145" max="6145" width="13.7109375" customWidth="1"/>
    <col min="6146" max="6146" width="12.28515625" bestFit="1" customWidth="1"/>
    <col min="6401" max="6401" width="13.7109375" customWidth="1"/>
    <col min="6402" max="6402" width="12.28515625" bestFit="1" customWidth="1"/>
    <col min="6657" max="6657" width="13.7109375" customWidth="1"/>
    <col min="6658" max="6658" width="12.28515625" bestFit="1" customWidth="1"/>
    <col min="6913" max="6913" width="13.7109375" customWidth="1"/>
    <col min="6914" max="6914" width="12.28515625" bestFit="1" customWidth="1"/>
    <col min="7169" max="7169" width="13.7109375" customWidth="1"/>
    <col min="7170" max="7170" width="12.28515625" bestFit="1" customWidth="1"/>
    <col min="7425" max="7425" width="13.7109375" customWidth="1"/>
    <col min="7426" max="7426" width="12.28515625" bestFit="1" customWidth="1"/>
    <col min="7681" max="7681" width="13.7109375" customWidth="1"/>
    <col min="7682" max="7682" width="12.28515625" bestFit="1" customWidth="1"/>
    <col min="7937" max="7937" width="13.7109375" customWidth="1"/>
    <col min="7938" max="7938" width="12.28515625" bestFit="1" customWidth="1"/>
    <col min="8193" max="8193" width="13.7109375" customWidth="1"/>
    <col min="8194" max="8194" width="12.28515625" bestFit="1" customWidth="1"/>
    <col min="8449" max="8449" width="13.7109375" customWidth="1"/>
    <col min="8450" max="8450" width="12.28515625" bestFit="1" customWidth="1"/>
    <col min="8705" max="8705" width="13.7109375" customWidth="1"/>
    <col min="8706" max="8706" width="12.28515625" bestFit="1" customWidth="1"/>
    <col min="8961" max="8961" width="13.7109375" customWidth="1"/>
    <col min="8962" max="8962" width="12.28515625" bestFit="1" customWidth="1"/>
    <col min="9217" max="9217" width="13.7109375" customWidth="1"/>
    <col min="9218" max="9218" width="12.28515625" bestFit="1" customWidth="1"/>
    <col min="9473" max="9473" width="13.7109375" customWidth="1"/>
    <col min="9474" max="9474" width="12.28515625" bestFit="1" customWidth="1"/>
    <col min="9729" max="9729" width="13.7109375" customWidth="1"/>
    <col min="9730" max="9730" width="12.28515625" bestFit="1" customWidth="1"/>
    <col min="9985" max="9985" width="13.7109375" customWidth="1"/>
    <col min="9986" max="9986" width="12.28515625" bestFit="1" customWidth="1"/>
    <col min="10241" max="10241" width="13.7109375" customWidth="1"/>
    <col min="10242" max="10242" width="12.28515625" bestFit="1" customWidth="1"/>
    <col min="10497" max="10497" width="13.7109375" customWidth="1"/>
    <col min="10498" max="10498" width="12.28515625" bestFit="1" customWidth="1"/>
    <col min="10753" max="10753" width="13.7109375" customWidth="1"/>
    <col min="10754" max="10754" width="12.28515625" bestFit="1" customWidth="1"/>
    <col min="11009" max="11009" width="13.7109375" customWidth="1"/>
    <col min="11010" max="11010" width="12.28515625" bestFit="1" customWidth="1"/>
    <col min="11265" max="11265" width="13.7109375" customWidth="1"/>
    <col min="11266" max="11266" width="12.28515625" bestFit="1" customWidth="1"/>
    <col min="11521" max="11521" width="13.7109375" customWidth="1"/>
    <col min="11522" max="11522" width="12.28515625" bestFit="1" customWidth="1"/>
    <col min="11777" max="11777" width="13.7109375" customWidth="1"/>
    <col min="11778" max="11778" width="12.28515625" bestFit="1" customWidth="1"/>
    <col min="12033" max="12033" width="13.7109375" customWidth="1"/>
    <col min="12034" max="12034" width="12.28515625" bestFit="1" customWidth="1"/>
    <col min="12289" max="12289" width="13.7109375" customWidth="1"/>
    <col min="12290" max="12290" width="12.28515625" bestFit="1" customWidth="1"/>
    <col min="12545" max="12545" width="13.7109375" customWidth="1"/>
    <col min="12546" max="12546" width="12.28515625" bestFit="1" customWidth="1"/>
    <col min="12801" max="12801" width="13.7109375" customWidth="1"/>
    <col min="12802" max="12802" width="12.28515625" bestFit="1" customWidth="1"/>
    <col min="13057" max="13057" width="13.7109375" customWidth="1"/>
    <col min="13058" max="13058" width="12.28515625" bestFit="1" customWidth="1"/>
    <col min="13313" max="13313" width="13.7109375" customWidth="1"/>
    <col min="13314" max="13314" width="12.28515625" bestFit="1" customWidth="1"/>
    <col min="13569" max="13569" width="13.7109375" customWidth="1"/>
    <col min="13570" max="13570" width="12.28515625" bestFit="1" customWidth="1"/>
    <col min="13825" max="13825" width="13.7109375" customWidth="1"/>
    <col min="13826" max="13826" width="12.28515625" bestFit="1" customWidth="1"/>
    <col min="14081" max="14081" width="13.7109375" customWidth="1"/>
    <col min="14082" max="14082" width="12.28515625" bestFit="1" customWidth="1"/>
    <col min="14337" max="14337" width="13.7109375" customWidth="1"/>
    <col min="14338" max="14338" width="12.28515625" bestFit="1" customWidth="1"/>
    <col min="14593" max="14593" width="13.7109375" customWidth="1"/>
    <col min="14594" max="14594" width="12.28515625" bestFit="1" customWidth="1"/>
    <col min="14849" max="14849" width="13.7109375" customWidth="1"/>
    <col min="14850" max="14850" width="12.28515625" bestFit="1" customWidth="1"/>
    <col min="15105" max="15105" width="13.7109375" customWidth="1"/>
    <col min="15106" max="15106" width="12.28515625" bestFit="1" customWidth="1"/>
    <col min="15361" max="15361" width="13.7109375" customWidth="1"/>
    <col min="15362" max="15362" width="12.28515625" bestFit="1" customWidth="1"/>
    <col min="15617" max="15617" width="13.7109375" customWidth="1"/>
    <col min="15618" max="15618" width="12.28515625" bestFit="1" customWidth="1"/>
    <col min="15873" max="15873" width="13.7109375" customWidth="1"/>
    <col min="15874" max="15874" width="12.28515625" bestFit="1" customWidth="1"/>
    <col min="16129" max="16129" width="13.7109375" customWidth="1"/>
    <col min="16130" max="16130" width="12.28515625" bestFit="1" customWidth="1"/>
  </cols>
  <sheetData>
    <row r="1" spans="1:3" x14ac:dyDescent="0.25">
      <c r="A1" s="189" t="s">
        <v>0</v>
      </c>
      <c r="B1" s="190" t="s">
        <v>294</v>
      </c>
      <c r="C1" s="191" t="s">
        <v>77</v>
      </c>
    </row>
    <row r="2" spans="1:3" x14ac:dyDescent="0.25">
      <c r="A2" s="190"/>
      <c r="B2" s="190"/>
      <c r="C2" s="191"/>
    </row>
    <row r="3" spans="1:3" x14ac:dyDescent="0.25">
      <c r="A3" s="192" t="s">
        <v>403</v>
      </c>
      <c r="B3" t="s">
        <v>404</v>
      </c>
      <c r="C3" t="s">
        <v>133</v>
      </c>
    </row>
    <row r="4" spans="1:3" x14ac:dyDescent="0.25">
      <c r="A4" s="192" t="s">
        <v>405</v>
      </c>
      <c r="B4" t="s">
        <v>404</v>
      </c>
      <c r="C4" t="s">
        <v>133</v>
      </c>
    </row>
    <row r="5" spans="1:3" x14ac:dyDescent="0.25">
      <c r="A5" s="192" t="s">
        <v>406</v>
      </c>
      <c r="B5" t="s">
        <v>404</v>
      </c>
      <c r="C5" t="s">
        <v>133</v>
      </c>
    </row>
    <row r="6" spans="1:3" x14ac:dyDescent="0.25">
      <c r="A6" s="192" t="s">
        <v>407</v>
      </c>
      <c r="B6" t="s">
        <v>404</v>
      </c>
      <c r="C6" t="s">
        <v>133</v>
      </c>
    </row>
    <row r="7" spans="1:3" x14ac:dyDescent="0.25">
      <c r="A7" s="192" t="s">
        <v>408</v>
      </c>
      <c r="B7" t="s">
        <v>404</v>
      </c>
      <c r="C7" t="s">
        <v>133</v>
      </c>
    </row>
    <row r="8" spans="1:3" x14ac:dyDescent="0.25">
      <c r="A8" s="192" t="s">
        <v>409</v>
      </c>
      <c r="B8" t="s">
        <v>404</v>
      </c>
      <c r="C8" t="s">
        <v>133</v>
      </c>
    </row>
    <row r="9" spans="1:3" x14ac:dyDescent="0.25">
      <c r="A9" s="192" t="s">
        <v>410</v>
      </c>
      <c r="B9" t="s">
        <v>404</v>
      </c>
      <c r="C9" t="s">
        <v>133</v>
      </c>
    </row>
    <row r="10" spans="1:3" x14ac:dyDescent="0.25">
      <c r="A10" s="192" t="s">
        <v>411</v>
      </c>
      <c r="B10" t="s">
        <v>404</v>
      </c>
      <c r="C10" t="s">
        <v>133</v>
      </c>
    </row>
    <row r="11" spans="1:3" x14ac:dyDescent="0.25">
      <c r="A11" s="192" t="s">
        <v>412</v>
      </c>
      <c r="B11" t="s">
        <v>404</v>
      </c>
      <c r="C11" t="s">
        <v>133</v>
      </c>
    </row>
    <row r="12" spans="1:3" x14ac:dyDescent="0.25">
      <c r="A12" s="192" t="s">
        <v>413</v>
      </c>
      <c r="B12" t="s">
        <v>404</v>
      </c>
      <c r="C12" t="s">
        <v>133</v>
      </c>
    </row>
    <row r="13" spans="1:3" x14ac:dyDescent="0.25">
      <c r="A13" s="192" t="s">
        <v>414</v>
      </c>
      <c r="B13" t="s">
        <v>404</v>
      </c>
      <c r="C13" t="s">
        <v>133</v>
      </c>
    </row>
    <row r="14" spans="1:3" x14ac:dyDescent="0.25">
      <c r="A14" s="192" t="s">
        <v>415</v>
      </c>
      <c r="B14" t="s">
        <v>404</v>
      </c>
      <c r="C14" t="s">
        <v>133</v>
      </c>
    </row>
    <row r="15" spans="1:3" x14ac:dyDescent="0.25">
      <c r="A15" s="192" t="s">
        <v>416</v>
      </c>
      <c r="B15" t="s">
        <v>404</v>
      </c>
      <c r="C15" t="s">
        <v>133</v>
      </c>
    </row>
    <row r="16" spans="1:3" x14ac:dyDescent="0.25">
      <c r="A16" s="192" t="s">
        <v>417</v>
      </c>
      <c r="B16" t="s">
        <v>404</v>
      </c>
      <c r="C16" t="s">
        <v>133</v>
      </c>
    </row>
    <row r="17" spans="1:3" x14ac:dyDescent="0.25">
      <c r="A17" s="192" t="s">
        <v>418</v>
      </c>
      <c r="B17" t="s">
        <v>404</v>
      </c>
      <c r="C17" t="s">
        <v>133</v>
      </c>
    </row>
    <row r="18" spans="1:3" x14ac:dyDescent="0.25">
      <c r="A18" s="192" t="s">
        <v>419</v>
      </c>
      <c r="B18" t="s">
        <v>404</v>
      </c>
      <c r="C18" t="s">
        <v>133</v>
      </c>
    </row>
    <row r="19" spans="1:3" x14ac:dyDescent="0.25">
      <c r="A19" s="192" t="s">
        <v>420</v>
      </c>
      <c r="B19" t="s">
        <v>404</v>
      </c>
      <c r="C19" t="s">
        <v>133</v>
      </c>
    </row>
    <row r="20" spans="1:3" x14ac:dyDescent="0.25">
      <c r="A20" s="192" t="s">
        <v>421</v>
      </c>
      <c r="B20" t="s">
        <v>404</v>
      </c>
      <c r="C20" t="s">
        <v>133</v>
      </c>
    </row>
    <row r="21" spans="1:3" x14ac:dyDescent="0.25">
      <c r="A21" s="192" t="s">
        <v>422</v>
      </c>
      <c r="B21" t="s">
        <v>404</v>
      </c>
      <c r="C21" t="s">
        <v>133</v>
      </c>
    </row>
    <row r="22" spans="1:3" x14ac:dyDescent="0.25">
      <c r="A22" s="192" t="s">
        <v>423</v>
      </c>
      <c r="B22" t="s">
        <v>404</v>
      </c>
      <c r="C22" t="s">
        <v>133</v>
      </c>
    </row>
    <row r="23" spans="1:3" x14ac:dyDescent="0.25">
      <c r="A23" s="192" t="s">
        <v>424</v>
      </c>
      <c r="B23" t="s">
        <v>404</v>
      </c>
      <c r="C23" t="s">
        <v>133</v>
      </c>
    </row>
    <row r="24" spans="1:3" x14ac:dyDescent="0.25">
      <c r="A24" s="192" t="s">
        <v>425</v>
      </c>
      <c r="B24" t="s">
        <v>404</v>
      </c>
      <c r="C24" t="s">
        <v>133</v>
      </c>
    </row>
    <row r="25" spans="1:3" x14ac:dyDescent="0.25">
      <c r="A25" s="192" t="s">
        <v>426</v>
      </c>
      <c r="B25" t="s">
        <v>404</v>
      </c>
      <c r="C25" t="s">
        <v>133</v>
      </c>
    </row>
    <row r="26" spans="1:3" x14ac:dyDescent="0.25">
      <c r="A26" s="192" t="s">
        <v>427</v>
      </c>
      <c r="B26" t="s">
        <v>404</v>
      </c>
      <c r="C26" t="s">
        <v>133</v>
      </c>
    </row>
    <row r="27" spans="1:3" x14ac:dyDescent="0.25">
      <c r="A27" s="192" t="s">
        <v>428</v>
      </c>
      <c r="B27" t="s">
        <v>404</v>
      </c>
      <c r="C27" t="s">
        <v>133</v>
      </c>
    </row>
    <row r="28" spans="1:3" x14ac:dyDescent="0.25">
      <c r="A28" s="192" t="s">
        <v>429</v>
      </c>
      <c r="B28" t="s">
        <v>404</v>
      </c>
      <c r="C28" t="s">
        <v>133</v>
      </c>
    </row>
    <row r="29" spans="1:3" x14ac:dyDescent="0.25">
      <c r="A29" s="192" t="s">
        <v>430</v>
      </c>
      <c r="B29" t="s">
        <v>404</v>
      </c>
      <c r="C29" t="s">
        <v>133</v>
      </c>
    </row>
    <row r="30" spans="1:3" x14ac:dyDescent="0.25">
      <c r="A30" s="192" t="s">
        <v>431</v>
      </c>
      <c r="B30" t="s">
        <v>404</v>
      </c>
      <c r="C30" t="s">
        <v>133</v>
      </c>
    </row>
    <row r="31" spans="1:3" x14ac:dyDescent="0.25">
      <c r="A31" s="192" t="s">
        <v>432</v>
      </c>
      <c r="B31" t="s">
        <v>404</v>
      </c>
      <c r="C31" t="s">
        <v>133</v>
      </c>
    </row>
    <row r="32" spans="1:3" x14ac:dyDescent="0.25">
      <c r="A32" s="192" t="s">
        <v>433</v>
      </c>
      <c r="B32" t="s">
        <v>404</v>
      </c>
      <c r="C32" t="s">
        <v>133</v>
      </c>
    </row>
    <row r="33" spans="1:3" x14ac:dyDescent="0.25">
      <c r="A33" s="192" t="s">
        <v>434</v>
      </c>
      <c r="B33" t="s">
        <v>404</v>
      </c>
      <c r="C33" t="s">
        <v>133</v>
      </c>
    </row>
    <row r="34" spans="1:3" x14ac:dyDescent="0.25">
      <c r="A34" s="192" t="s">
        <v>435</v>
      </c>
      <c r="B34" t="s">
        <v>404</v>
      </c>
      <c r="C34" t="s">
        <v>133</v>
      </c>
    </row>
    <row r="35" spans="1:3" x14ac:dyDescent="0.25">
      <c r="A35" s="192" t="s">
        <v>436</v>
      </c>
      <c r="B35" t="s">
        <v>404</v>
      </c>
      <c r="C35" t="s">
        <v>133</v>
      </c>
    </row>
    <row r="36" spans="1:3" x14ac:dyDescent="0.25">
      <c r="A36" s="192" t="s">
        <v>437</v>
      </c>
      <c r="B36" t="s">
        <v>404</v>
      </c>
      <c r="C36" t="s">
        <v>133</v>
      </c>
    </row>
    <row r="37" spans="1:3" x14ac:dyDescent="0.25">
      <c r="A37" s="192" t="s">
        <v>438</v>
      </c>
      <c r="B37" t="s">
        <v>404</v>
      </c>
      <c r="C37" t="s">
        <v>133</v>
      </c>
    </row>
    <row r="38" spans="1:3" x14ac:dyDescent="0.25">
      <c r="A38" s="192" t="s">
        <v>439</v>
      </c>
      <c r="B38" t="s">
        <v>404</v>
      </c>
      <c r="C38" t="s">
        <v>133</v>
      </c>
    </row>
    <row r="39" spans="1:3" x14ac:dyDescent="0.25">
      <c r="A39" s="192" t="s">
        <v>440</v>
      </c>
      <c r="B39" t="s">
        <v>404</v>
      </c>
      <c r="C39" t="s">
        <v>133</v>
      </c>
    </row>
    <row r="40" spans="1:3" x14ac:dyDescent="0.25">
      <c r="A40" s="192" t="s">
        <v>441</v>
      </c>
      <c r="B40" t="s">
        <v>404</v>
      </c>
      <c r="C40" t="s">
        <v>133</v>
      </c>
    </row>
    <row r="41" spans="1:3" x14ac:dyDescent="0.25">
      <c r="A41" s="192" t="s">
        <v>442</v>
      </c>
      <c r="B41" t="s">
        <v>404</v>
      </c>
      <c r="C41" t="s">
        <v>133</v>
      </c>
    </row>
    <row r="42" spans="1:3" x14ac:dyDescent="0.25">
      <c r="A42" s="192" t="s">
        <v>443</v>
      </c>
      <c r="B42" t="s">
        <v>404</v>
      </c>
      <c r="C42" t="s">
        <v>133</v>
      </c>
    </row>
    <row r="43" spans="1:3" x14ac:dyDescent="0.25">
      <c r="A43" s="192" t="s">
        <v>444</v>
      </c>
      <c r="B43" t="s">
        <v>404</v>
      </c>
      <c r="C43" t="s">
        <v>133</v>
      </c>
    </row>
    <row r="44" spans="1:3" x14ac:dyDescent="0.25">
      <c r="A44" s="192" t="s">
        <v>445</v>
      </c>
      <c r="B44" t="s">
        <v>404</v>
      </c>
      <c r="C44" t="s">
        <v>133</v>
      </c>
    </row>
    <row r="45" spans="1:3" x14ac:dyDescent="0.25">
      <c r="A45" s="192" t="s">
        <v>446</v>
      </c>
      <c r="B45" t="s">
        <v>404</v>
      </c>
      <c r="C45" t="s">
        <v>133</v>
      </c>
    </row>
    <row r="46" spans="1:3" x14ac:dyDescent="0.25">
      <c r="A46" s="192" t="s">
        <v>447</v>
      </c>
      <c r="B46" t="s">
        <v>404</v>
      </c>
      <c r="C46" t="s">
        <v>133</v>
      </c>
    </row>
    <row r="47" spans="1:3" x14ac:dyDescent="0.25">
      <c r="A47" s="192" t="s">
        <v>448</v>
      </c>
      <c r="B47" t="s">
        <v>404</v>
      </c>
      <c r="C47" t="s">
        <v>133</v>
      </c>
    </row>
    <row r="48" spans="1:3" x14ac:dyDescent="0.25">
      <c r="A48" s="192" t="s">
        <v>449</v>
      </c>
      <c r="B48" t="s">
        <v>404</v>
      </c>
      <c r="C48" t="s">
        <v>133</v>
      </c>
    </row>
    <row r="49" spans="1:3" x14ac:dyDescent="0.25">
      <c r="A49" s="192" t="s">
        <v>450</v>
      </c>
      <c r="B49" t="s">
        <v>404</v>
      </c>
      <c r="C49" t="s">
        <v>133</v>
      </c>
    </row>
    <row r="50" spans="1:3" x14ac:dyDescent="0.25">
      <c r="A50" s="192" t="s">
        <v>451</v>
      </c>
      <c r="B50" t="s">
        <v>404</v>
      </c>
      <c r="C50" t="s">
        <v>133</v>
      </c>
    </row>
    <row r="51" spans="1:3" x14ac:dyDescent="0.25">
      <c r="A51" s="192" t="s">
        <v>452</v>
      </c>
      <c r="B51" t="s">
        <v>404</v>
      </c>
      <c r="C51" t="s">
        <v>133</v>
      </c>
    </row>
    <row r="52" spans="1:3" x14ac:dyDescent="0.25">
      <c r="A52" s="192" t="s">
        <v>453</v>
      </c>
      <c r="B52" t="s">
        <v>404</v>
      </c>
      <c r="C52" t="s">
        <v>133</v>
      </c>
    </row>
    <row r="53" spans="1:3" x14ac:dyDescent="0.25">
      <c r="A53" s="192" t="s">
        <v>454</v>
      </c>
      <c r="B53" t="s">
        <v>404</v>
      </c>
      <c r="C53" t="s">
        <v>133</v>
      </c>
    </row>
    <row r="54" spans="1:3" x14ac:dyDescent="0.25">
      <c r="A54" s="192" t="s">
        <v>455</v>
      </c>
      <c r="B54" t="s">
        <v>404</v>
      </c>
      <c r="C54" t="s">
        <v>133</v>
      </c>
    </row>
    <row r="55" spans="1:3" x14ac:dyDescent="0.25">
      <c r="A55" s="192" t="s">
        <v>456</v>
      </c>
      <c r="B55" t="s">
        <v>404</v>
      </c>
      <c r="C55" t="s">
        <v>133</v>
      </c>
    </row>
    <row r="56" spans="1:3" x14ac:dyDescent="0.25">
      <c r="A56" s="192" t="s">
        <v>457</v>
      </c>
      <c r="B56" t="s">
        <v>404</v>
      </c>
      <c r="C56" t="s">
        <v>133</v>
      </c>
    </row>
    <row r="57" spans="1:3" x14ac:dyDescent="0.25">
      <c r="A57" s="192" t="s">
        <v>458</v>
      </c>
      <c r="B57" t="s">
        <v>404</v>
      </c>
      <c r="C57" t="s">
        <v>133</v>
      </c>
    </row>
    <row r="58" spans="1:3" x14ac:dyDescent="0.25">
      <c r="A58" s="192" t="s">
        <v>459</v>
      </c>
      <c r="B58" t="s">
        <v>404</v>
      </c>
      <c r="C58" t="s">
        <v>133</v>
      </c>
    </row>
    <row r="59" spans="1:3" x14ac:dyDescent="0.25">
      <c r="A59" s="192" t="s">
        <v>460</v>
      </c>
      <c r="B59" t="s">
        <v>404</v>
      </c>
      <c r="C59" t="s">
        <v>133</v>
      </c>
    </row>
    <row r="60" spans="1:3" x14ac:dyDescent="0.25">
      <c r="A60" s="192" t="s">
        <v>461</v>
      </c>
      <c r="B60" t="s">
        <v>404</v>
      </c>
      <c r="C60" t="s">
        <v>133</v>
      </c>
    </row>
    <row r="61" spans="1:3" x14ac:dyDescent="0.25">
      <c r="A61" s="192" t="s">
        <v>462</v>
      </c>
      <c r="B61" t="s">
        <v>404</v>
      </c>
      <c r="C61" t="s">
        <v>133</v>
      </c>
    </row>
    <row r="62" spans="1:3" x14ac:dyDescent="0.25">
      <c r="A62" s="192" t="s">
        <v>463</v>
      </c>
      <c r="B62" t="s">
        <v>404</v>
      </c>
      <c r="C62" t="s">
        <v>133</v>
      </c>
    </row>
    <row r="63" spans="1:3" x14ac:dyDescent="0.25">
      <c r="A63" s="192" t="s">
        <v>464</v>
      </c>
      <c r="B63" t="s">
        <v>404</v>
      </c>
      <c r="C63" t="s">
        <v>133</v>
      </c>
    </row>
    <row r="64" spans="1:3" x14ac:dyDescent="0.25">
      <c r="A64" s="192" t="s">
        <v>465</v>
      </c>
      <c r="B64" t="s">
        <v>404</v>
      </c>
      <c r="C64" t="s">
        <v>133</v>
      </c>
    </row>
    <row r="65" spans="1:3" x14ac:dyDescent="0.25">
      <c r="A65" s="192" t="s">
        <v>466</v>
      </c>
      <c r="B65" t="s">
        <v>404</v>
      </c>
      <c r="C65" t="s">
        <v>133</v>
      </c>
    </row>
    <row r="66" spans="1:3" x14ac:dyDescent="0.25">
      <c r="A66" s="192" t="s">
        <v>467</v>
      </c>
      <c r="B66" t="s">
        <v>404</v>
      </c>
      <c r="C66" t="s">
        <v>133</v>
      </c>
    </row>
    <row r="67" spans="1:3" x14ac:dyDescent="0.25">
      <c r="A67" s="192" t="s">
        <v>468</v>
      </c>
      <c r="B67" t="s">
        <v>404</v>
      </c>
      <c r="C67" t="s">
        <v>133</v>
      </c>
    </row>
    <row r="68" spans="1:3" x14ac:dyDescent="0.25">
      <c r="A68" s="192" t="s">
        <v>469</v>
      </c>
      <c r="B68" t="s">
        <v>404</v>
      </c>
      <c r="C68" t="s">
        <v>133</v>
      </c>
    </row>
    <row r="69" spans="1:3" x14ac:dyDescent="0.25">
      <c r="A69" s="192" t="s">
        <v>470</v>
      </c>
      <c r="B69" t="s">
        <v>404</v>
      </c>
      <c r="C69" t="s">
        <v>133</v>
      </c>
    </row>
    <row r="70" spans="1:3" x14ac:dyDescent="0.25">
      <c r="A70" s="192" t="s">
        <v>471</v>
      </c>
      <c r="B70" t="s">
        <v>404</v>
      </c>
      <c r="C70" t="s">
        <v>133</v>
      </c>
    </row>
    <row r="71" spans="1:3" x14ac:dyDescent="0.25">
      <c r="A71" s="192" t="s">
        <v>472</v>
      </c>
      <c r="B71" t="s">
        <v>404</v>
      </c>
      <c r="C71" t="s">
        <v>133</v>
      </c>
    </row>
    <row r="72" spans="1:3" x14ac:dyDescent="0.25">
      <c r="A72" s="192" t="s">
        <v>473</v>
      </c>
      <c r="B72" t="s">
        <v>404</v>
      </c>
      <c r="C72" t="s">
        <v>133</v>
      </c>
    </row>
    <row r="73" spans="1:3" x14ac:dyDescent="0.25">
      <c r="A73" s="192" t="s">
        <v>474</v>
      </c>
      <c r="B73" t="s">
        <v>404</v>
      </c>
      <c r="C73" t="s">
        <v>133</v>
      </c>
    </row>
    <row r="74" spans="1:3" x14ac:dyDescent="0.25">
      <c r="A74" s="192" t="s">
        <v>475</v>
      </c>
      <c r="B74" t="s">
        <v>404</v>
      </c>
      <c r="C74" t="s">
        <v>133</v>
      </c>
    </row>
    <row r="75" spans="1:3" x14ac:dyDescent="0.25">
      <c r="A75" s="192" t="s">
        <v>476</v>
      </c>
      <c r="B75" t="s">
        <v>404</v>
      </c>
      <c r="C75" t="s">
        <v>133</v>
      </c>
    </row>
    <row r="76" spans="1:3" x14ac:dyDescent="0.25">
      <c r="A76" s="192" t="s">
        <v>477</v>
      </c>
      <c r="B76" t="s">
        <v>404</v>
      </c>
      <c r="C76" t="s">
        <v>133</v>
      </c>
    </row>
    <row r="77" spans="1:3" x14ac:dyDescent="0.25">
      <c r="A77" s="192" t="s">
        <v>478</v>
      </c>
      <c r="B77" t="s">
        <v>404</v>
      </c>
      <c r="C77" t="s">
        <v>133</v>
      </c>
    </row>
    <row r="78" spans="1:3" x14ac:dyDescent="0.25">
      <c r="A78" s="192" t="s">
        <v>479</v>
      </c>
      <c r="B78" t="s">
        <v>404</v>
      </c>
      <c r="C78" t="s">
        <v>133</v>
      </c>
    </row>
    <row r="79" spans="1:3" x14ac:dyDescent="0.25">
      <c r="A79" s="192" t="s">
        <v>480</v>
      </c>
      <c r="B79" t="s">
        <v>404</v>
      </c>
      <c r="C79" t="s">
        <v>133</v>
      </c>
    </row>
    <row r="80" spans="1:3" x14ac:dyDescent="0.25">
      <c r="A80" s="192" t="s">
        <v>481</v>
      </c>
      <c r="B80" t="s">
        <v>404</v>
      </c>
      <c r="C80" t="s">
        <v>133</v>
      </c>
    </row>
    <row r="81" spans="1:3" x14ac:dyDescent="0.25">
      <c r="A81" s="192" t="s">
        <v>482</v>
      </c>
      <c r="B81" t="s">
        <v>404</v>
      </c>
      <c r="C81" t="s">
        <v>133</v>
      </c>
    </row>
    <row r="82" spans="1:3" x14ac:dyDescent="0.25">
      <c r="A82" s="192" t="s">
        <v>483</v>
      </c>
      <c r="B82" t="s">
        <v>404</v>
      </c>
      <c r="C82" t="s">
        <v>133</v>
      </c>
    </row>
    <row r="83" spans="1:3" x14ac:dyDescent="0.25">
      <c r="A83" s="192" t="s">
        <v>484</v>
      </c>
      <c r="B83" t="s">
        <v>404</v>
      </c>
      <c r="C83" t="s">
        <v>133</v>
      </c>
    </row>
    <row r="84" spans="1:3" x14ac:dyDescent="0.25">
      <c r="A84" s="192" t="s">
        <v>485</v>
      </c>
      <c r="B84" t="s">
        <v>404</v>
      </c>
      <c r="C84" t="s">
        <v>133</v>
      </c>
    </row>
    <row r="85" spans="1:3" x14ac:dyDescent="0.25">
      <c r="A85" s="192" t="s">
        <v>486</v>
      </c>
      <c r="B85" t="s">
        <v>404</v>
      </c>
      <c r="C85" t="s">
        <v>133</v>
      </c>
    </row>
    <row r="86" spans="1:3" x14ac:dyDescent="0.25">
      <c r="A86" s="192" t="s">
        <v>487</v>
      </c>
      <c r="B86" t="s">
        <v>404</v>
      </c>
      <c r="C86" t="s">
        <v>133</v>
      </c>
    </row>
    <row r="87" spans="1:3" x14ac:dyDescent="0.25">
      <c r="A87" s="192" t="s">
        <v>488</v>
      </c>
      <c r="B87" t="s">
        <v>404</v>
      </c>
      <c r="C87" t="s">
        <v>133</v>
      </c>
    </row>
    <row r="88" spans="1:3" x14ac:dyDescent="0.25">
      <c r="A88" s="192" t="s">
        <v>489</v>
      </c>
      <c r="B88" t="s">
        <v>404</v>
      </c>
      <c r="C88" t="s">
        <v>133</v>
      </c>
    </row>
    <row r="89" spans="1:3" x14ac:dyDescent="0.25">
      <c r="A89" s="192" t="s">
        <v>490</v>
      </c>
      <c r="B89" t="s">
        <v>404</v>
      </c>
      <c r="C89" t="s">
        <v>133</v>
      </c>
    </row>
    <row r="90" spans="1:3" x14ac:dyDescent="0.25">
      <c r="A90" s="192" t="s">
        <v>491</v>
      </c>
      <c r="B90" t="s">
        <v>404</v>
      </c>
      <c r="C90" t="s">
        <v>133</v>
      </c>
    </row>
    <row r="91" spans="1:3" x14ac:dyDescent="0.25">
      <c r="A91" s="192" t="s">
        <v>492</v>
      </c>
      <c r="B91" t="s">
        <v>404</v>
      </c>
      <c r="C91" t="s">
        <v>133</v>
      </c>
    </row>
    <row r="92" spans="1:3" x14ac:dyDescent="0.25">
      <c r="A92" s="192" t="s">
        <v>493</v>
      </c>
      <c r="B92" t="s">
        <v>404</v>
      </c>
      <c r="C92" t="s">
        <v>133</v>
      </c>
    </row>
    <row r="93" spans="1:3" x14ac:dyDescent="0.25">
      <c r="A93" s="192" t="s">
        <v>494</v>
      </c>
      <c r="B93" t="s">
        <v>404</v>
      </c>
      <c r="C93" t="s">
        <v>133</v>
      </c>
    </row>
    <row r="94" spans="1:3" x14ac:dyDescent="0.25">
      <c r="A94" s="192" t="s">
        <v>495</v>
      </c>
      <c r="B94" t="s">
        <v>404</v>
      </c>
      <c r="C94" t="s">
        <v>133</v>
      </c>
    </row>
    <row r="95" spans="1:3" x14ac:dyDescent="0.25">
      <c r="A95" s="192" t="s">
        <v>496</v>
      </c>
      <c r="B95" t="s">
        <v>404</v>
      </c>
      <c r="C95" t="s">
        <v>133</v>
      </c>
    </row>
    <row r="96" spans="1:3" x14ac:dyDescent="0.25">
      <c r="A96" s="192" t="s">
        <v>497</v>
      </c>
      <c r="B96" t="s">
        <v>404</v>
      </c>
      <c r="C96" t="s">
        <v>133</v>
      </c>
    </row>
    <row r="97" spans="1:3" x14ac:dyDescent="0.25">
      <c r="A97" s="192" t="s">
        <v>498</v>
      </c>
      <c r="B97" t="s">
        <v>404</v>
      </c>
      <c r="C97" t="s">
        <v>133</v>
      </c>
    </row>
    <row r="98" spans="1:3" x14ac:dyDescent="0.25">
      <c r="A98" s="192" t="s">
        <v>499</v>
      </c>
      <c r="B98" t="s">
        <v>404</v>
      </c>
      <c r="C98" t="s">
        <v>133</v>
      </c>
    </row>
    <row r="99" spans="1:3" x14ac:dyDescent="0.25">
      <c r="A99" s="192" t="s">
        <v>500</v>
      </c>
      <c r="B99" t="s">
        <v>404</v>
      </c>
      <c r="C99" t="s">
        <v>133</v>
      </c>
    </row>
    <row r="100" spans="1:3" x14ac:dyDescent="0.25">
      <c r="A100" s="192" t="s">
        <v>501</v>
      </c>
      <c r="B100" t="s">
        <v>404</v>
      </c>
      <c r="C100" t="s">
        <v>133</v>
      </c>
    </row>
    <row r="101" spans="1:3" x14ac:dyDescent="0.25">
      <c r="A101" s="192" t="s">
        <v>502</v>
      </c>
      <c r="B101" t="s">
        <v>404</v>
      </c>
      <c r="C101" t="s">
        <v>133</v>
      </c>
    </row>
    <row r="102" spans="1:3" x14ac:dyDescent="0.25">
      <c r="A102" s="192" t="s">
        <v>503</v>
      </c>
      <c r="B102" t="s">
        <v>404</v>
      </c>
      <c r="C102" t="s">
        <v>133</v>
      </c>
    </row>
    <row r="103" spans="1:3" x14ac:dyDescent="0.25">
      <c r="A103" s="192" t="s">
        <v>504</v>
      </c>
      <c r="B103" t="s">
        <v>404</v>
      </c>
      <c r="C103" t="s">
        <v>133</v>
      </c>
    </row>
    <row r="104" spans="1:3" x14ac:dyDescent="0.25">
      <c r="A104" s="192" t="s">
        <v>505</v>
      </c>
      <c r="B104" t="s">
        <v>404</v>
      </c>
      <c r="C104" t="s">
        <v>133</v>
      </c>
    </row>
    <row r="105" spans="1:3" x14ac:dyDescent="0.25">
      <c r="A105" s="192" t="s">
        <v>506</v>
      </c>
      <c r="B105" t="s">
        <v>404</v>
      </c>
      <c r="C105" t="s">
        <v>133</v>
      </c>
    </row>
    <row r="106" spans="1:3" x14ac:dyDescent="0.25">
      <c r="A106" s="192" t="s">
        <v>507</v>
      </c>
      <c r="B106" t="s">
        <v>404</v>
      </c>
      <c r="C106" t="s">
        <v>133</v>
      </c>
    </row>
    <row r="107" spans="1:3" x14ac:dyDescent="0.25">
      <c r="A107" s="192" t="s">
        <v>508</v>
      </c>
      <c r="B107" t="s">
        <v>404</v>
      </c>
      <c r="C107" t="s">
        <v>133</v>
      </c>
    </row>
    <row r="108" spans="1:3" x14ac:dyDescent="0.25">
      <c r="A108" s="192" t="s">
        <v>509</v>
      </c>
      <c r="B108" t="s">
        <v>404</v>
      </c>
      <c r="C108" t="s">
        <v>133</v>
      </c>
    </row>
    <row r="109" spans="1:3" x14ac:dyDescent="0.25">
      <c r="A109" s="192" t="s">
        <v>510</v>
      </c>
      <c r="B109" t="s">
        <v>404</v>
      </c>
      <c r="C109" t="s">
        <v>133</v>
      </c>
    </row>
    <row r="110" spans="1:3" x14ac:dyDescent="0.25">
      <c r="A110" s="192" t="s">
        <v>511</v>
      </c>
      <c r="B110" t="s">
        <v>404</v>
      </c>
      <c r="C110" t="s">
        <v>133</v>
      </c>
    </row>
    <row r="111" spans="1:3" x14ac:dyDescent="0.25">
      <c r="A111" s="192" t="s">
        <v>512</v>
      </c>
      <c r="B111" t="s">
        <v>404</v>
      </c>
      <c r="C111" t="s">
        <v>133</v>
      </c>
    </row>
    <row r="112" spans="1:3" x14ac:dyDescent="0.25">
      <c r="A112" s="192" t="s">
        <v>513</v>
      </c>
      <c r="B112" t="s">
        <v>404</v>
      </c>
      <c r="C112" t="s">
        <v>133</v>
      </c>
    </row>
    <row r="113" spans="1:3" x14ac:dyDescent="0.25">
      <c r="A113" s="192" t="s">
        <v>514</v>
      </c>
      <c r="B113" t="s">
        <v>404</v>
      </c>
      <c r="C113" t="s">
        <v>133</v>
      </c>
    </row>
    <row r="114" spans="1:3" x14ac:dyDescent="0.25">
      <c r="A114" s="192" t="s">
        <v>515</v>
      </c>
      <c r="B114" t="s">
        <v>404</v>
      </c>
      <c r="C114" t="s">
        <v>133</v>
      </c>
    </row>
    <row r="115" spans="1:3" x14ac:dyDescent="0.25">
      <c r="A115" s="192" t="s">
        <v>516</v>
      </c>
      <c r="B115" t="s">
        <v>404</v>
      </c>
      <c r="C115" t="s">
        <v>133</v>
      </c>
    </row>
    <row r="116" spans="1:3" x14ac:dyDescent="0.25">
      <c r="A116" s="192" t="s">
        <v>517</v>
      </c>
      <c r="B116" t="s">
        <v>404</v>
      </c>
      <c r="C116" t="s">
        <v>133</v>
      </c>
    </row>
    <row r="117" spans="1:3" x14ac:dyDescent="0.25">
      <c r="A117" s="192" t="s">
        <v>518</v>
      </c>
      <c r="B117" t="s">
        <v>404</v>
      </c>
      <c r="C117" t="s">
        <v>133</v>
      </c>
    </row>
    <row r="118" spans="1:3" x14ac:dyDescent="0.25">
      <c r="A118" s="192" t="s">
        <v>519</v>
      </c>
      <c r="B118" t="s">
        <v>404</v>
      </c>
      <c r="C118" t="s">
        <v>133</v>
      </c>
    </row>
    <row r="119" spans="1:3" x14ac:dyDescent="0.25">
      <c r="A119" s="192" t="s">
        <v>520</v>
      </c>
      <c r="B119" t="s">
        <v>404</v>
      </c>
      <c r="C119" t="s">
        <v>133</v>
      </c>
    </row>
    <row r="120" spans="1:3" x14ac:dyDescent="0.25">
      <c r="A120" s="192" t="s">
        <v>521</v>
      </c>
      <c r="B120" t="s">
        <v>404</v>
      </c>
      <c r="C120" t="s">
        <v>133</v>
      </c>
    </row>
    <row r="121" spans="1:3" x14ac:dyDescent="0.25">
      <c r="A121" s="192" t="s">
        <v>522</v>
      </c>
      <c r="B121" t="s">
        <v>404</v>
      </c>
      <c r="C121" t="s">
        <v>133</v>
      </c>
    </row>
    <row r="122" spans="1:3" x14ac:dyDescent="0.25">
      <c r="A122" s="192" t="s">
        <v>523</v>
      </c>
      <c r="B122" t="s">
        <v>404</v>
      </c>
      <c r="C122" t="s">
        <v>133</v>
      </c>
    </row>
    <row r="123" spans="1:3" x14ac:dyDescent="0.25">
      <c r="A123" s="192" t="s">
        <v>524</v>
      </c>
      <c r="B123" t="s">
        <v>404</v>
      </c>
      <c r="C123" t="s">
        <v>133</v>
      </c>
    </row>
    <row r="124" spans="1:3" x14ac:dyDescent="0.25">
      <c r="A124" s="192" t="s">
        <v>525</v>
      </c>
      <c r="B124" t="s">
        <v>404</v>
      </c>
      <c r="C124" t="s">
        <v>133</v>
      </c>
    </row>
    <row r="125" spans="1:3" x14ac:dyDescent="0.25">
      <c r="A125" s="192" t="s">
        <v>526</v>
      </c>
      <c r="B125" t="s">
        <v>404</v>
      </c>
      <c r="C125" t="s">
        <v>133</v>
      </c>
    </row>
    <row r="126" spans="1:3" x14ac:dyDescent="0.25">
      <c r="A126" s="192" t="s">
        <v>527</v>
      </c>
      <c r="B126" t="s">
        <v>404</v>
      </c>
      <c r="C126" t="s">
        <v>133</v>
      </c>
    </row>
    <row r="127" spans="1:3" x14ac:dyDescent="0.25">
      <c r="A127" s="192" t="s">
        <v>528</v>
      </c>
      <c r="B127" t="s">
        <v>404</v>
      </c>
      <c r="C127" t="s">
        <v>133</v>
      </c>
    </row>
    <row r="128" spans="1:3" x14ac:dyDescent="0.25">
      <c r="A128" s="192" t="s">
        <v>529</v>
      </c>
      <c r="B128" t="s">
        <v>404</v>
      </c>
      <c r="C128" t="s">
        <v>133</v>
      </c>
    </row>
    <row r="129" spans="1:3" x14ac:dyDescent="0.25">
      <c r="A129" s="192" t="s">
        <v>530</v>
      </c>
      <c r="B129" t="s">
        <v>404</v>
      </c>
      <c r="C129" t="s">
        <v>133</v>
      </c>
    </row>
    <row r="130" spans="1:3" x14ac:dyDescent="0.25">
      <c r="A130" s="192" t="s">
        <v>531</v>
      </c>
      <c r="B130" t="s">
        <v>404</v>
      </c>
      <c r="C130" t="s">
        <v>133</v>
      </c>
    </row>
    <row r="131" spans="1:3" x14ac:dyDescent="0.25">
      <c r="A131" s="192" t="s">
        <v>532</v>
      </c>
      <c r="B131" t="s">
        <v>404</v>
      </c>
      <c r="C131" t="s">
        <v>133</v>
      </c>
    </row>
    <row r="132" spans="1:3" x14ac:dyDescent="0.25">
      <c r="A132" s="192" t="s">
        <v>533</v>
      </c>
      <c r="B132" t="s">
        <v>404</v>
      </c>
      <c r="C132" t="s">
        <v>133</v>
      </c>
    </row>
    <row r="133" spans="1:3" x14ac:dyDescent="0.25">
      <c r="A133" s="192" t="s">
        <v>534</v>
      </c>
      <c r="B133" t="s">
        <v>404</v>
      </c>
      <c r="C133" t="s">
        <v>133</v>
      </c>
    </row>
    <row r="134" spans="1:3" x14ac:dyDescent="0.25">
      <c r="A134" s="192" t="s">
        <v>535</v>
      </c>
      <c r="B134" t="s">
        <v>404</v>
      </c>
      <c r="C134" t="s">
        <v>133</v>
      </c>
    </row>
    <row r="135" spans="1:3" x14ac:dyDescent="0.25">
      <c r="A135" s="192" t="s">
        <v>536</v>
      </c>
      <c r="B135" t="s">
        <v>404</v>
      </c>
      <c r="C135" t="s">
        <v>133</v>
      </c>
    </row>
    <row r="136" spans="1:3" x14ac:dyDescent="0.25">
      <c r="A136" s="192" t="s">
        <v>537</v>
      </c>
      <c r="B136" t="s">
        <v>404</v>
      </c>
      <c r="C136" t="s">
        <v>133</v>
      </c>
    </row>
    <row r="137" spans="1:3" x14ac:dyDescent="0.25">
      <c r="A137" s="192" t="s">
        <v>538</v>
      </c>
      <c r="B137" t="s">
        <v>404</v>
      </c>
      <c r="C137" t="s">
        <v>133</v>
      </c>
    </row>
    <row r="138" spans="1:3" x14ac:dyDescent="0.25">
      <c r="A138" s="192" t="s">
        <v>539</v>
      </c>
      <c r="B138" t="s">
        <v>404</v>
      </c>
      <c r="C138" t="s">
        <v>133</v>
      </c>
    </row>
    <row r="139" spans="1:3" x14ac:dyDescent="0.25">
      <c r="A139" s="192" t="s">
        <v>540</v>
      </c>
      <c r="B139" t="s">
        <v>404</v>
      </c>
      <c r="C139" t="s">
        <v>133</v>
      </c>
    </row>
    <row r="140" spans="1:3" x14ac:dyDescent="0.25">
      <c r="A140" s="192" t="s">
        <v>541</v>
      </c>
      <c r="B140" t="s">
        <v>404</v>
      </c>
      <c r="C140" t="s">
        <v>133</v>
      </c>
    </row>
    <row r="141" spans="1:3" x14ac:dyDescent="0.25">
      <c r="A141" s="192" t="s">
        <v>542</v>
      </c>
      <c r="B141" t="s">
        <v>404</v>
      </c>
      <c r="C141" t="s">
        <v>133</v>
      </c>
    </row>
    <row r="142" spans="1:3" x14ac:dyDescent="0.25">
      <c r="A142" s="192" t="s">
        <v>543</v>
      </c>
      <c r="B142" t="s">
        <v>404</v>
      </c>
      <c r="C142" t="s">
        <v>133</v>
      </c>
    </row>
    <row r="143" spans="1:3" x14ac:dyDescent="0.25">
      <c r="A143" s="192" t="s">
        <v>544</v>
      </c>
      <c r="B143" t="s">
        <v>404</v>
      </c>
      <c r="C143" t="s">
        <v>133</v>
      </c>
    </row>
    <row r="144" spans="1:3" x14ac:dyDescent="0.25">
      <c r="A144" s="192" t="s">
        <v>545</v>
      </c>
      <c r="B144" t="s">
        <v>404</v>
      </c>
      <c r="C144" t="s">
        <v>133</v>
      </c>
    </row>
    <row r="145" spans="1:3" x14ac:dyDescent="0.25">
      <c r="A145" s="192" t="s">
        <v>546</v>
      </c>
      <c r="B145" t="s">
        <v>404</v>
      </c>
      <c r="C145" t="s">
        <v>133</v>
      </c>
    </row>
    <row r="146" spans="1:3" x14ac:dyDescent="0.25">
      <c r="A146" s="192" t="s">
        <v>547</v>
      </c>
      <c r="B146" t="s">
        <v>404</v>
      </c>
      <c r="C146" t="s">
        <v>133</v>
      </c>
    </row>
    <row r="147" spans="1:3" x14ac:dyDescent="0.25">
      <c r="A147" s="192" t="s">
        <v>548</v>
      </c>
      <c r="B147" t="s">
        <v>404</v>
      </c>
      <c r="C147" t="s">
        <v>133</v>
      </c>
    </row>
    <row r="148" spans="1:3" x14ac:dyDescent="0.25">
      <c r="A148" s="192" t="s">
        <v>549</v>
      </c>
      <c r="B148" t="s">
        <v>404</v>
      </c>
      <c r="C148" t="s">
        <v>133</v>
      </c>
    </row>
    <row r="149" spans="1:3" x14ac:dyDescent="0.25">
      <c r="A149" s="192" t="s">
        <v>550</v>
      </c>
      <c r="B149" t="s">
        <v>404</v>
      </c>
      <c r="C149" t="s">
        <v>133</v>
      </c>
    </row>
    <row r="150" spans="1:3" x14ac:dyDescent="0.25">
      <c r="A150" s="192" t="s">
        <v>551</v>
      </c>
      <c r="B150" t="s">
        <v>404</v>
      </c>
      <c r="C150" t="s">
        <v>133</v>
      </c>
    </row>
    <row r="151" spans="1:3" x14ac:dyDescent="0.25">
      <c r="A151" s="192" t="s">
        <v>552</v>
      </c>
      <c r="B151" t="s">
        <v>404</v>
      </c>
      <c r="C151" t="s">
        <v>133</v>
      </c>
    </row>
    <row r="152" spans="1:3" x14ac:dyDescent="0.25">
      <c r="A152" s="192" t="s">
        <v>553</v>
      </c>
      <c r="B152" t="s">
        <v>404</v>
      </c>
      <c r="C152" t="s">
        <v>133</v>
      </c>
    </row>
    <row r="153" spans="1:3" x14ac:dyDescent="0.25">
      <c r="A153" s="192" t="s">
        <v>554</v>
      </c>
      <c r="B153" t="s">
        <v>404</v>
      </c>
      <c r="C153" t="s">
        <v>133</v>
      </c>
    </row>
    <row r="154" spans="1:3" x14ac:dyDescent="0.25">
      <c r="A154" s="192" t="s">
        <v>555</v>
      </c>
      <c r="B154" t="s">
        <v>404</v>
      </c>
      <c r="C154" t="s">
        <v>133</v>
      </c>
    </row>
    <row r="155" spans="1:3" x14ac:dyDescent="0.25">
      <c r="A155" s="192" t="s">
        <v>556</v>
      </c>
      <c r="B155" t="s">
        <v>404</v>
      </c>
      <c r="C155" t="s">
        <v>133</v>
      </c>
    </row>
    <row r="156" spans="1:3" x14ac:dyDescent="0.25">
      <c r="A156" s="192" t="s">
        <v>557</v>
      </c>
      <c r="B156" t="s">
        <v>404</v>
      </c>
      <c r="C156" t="s">
        <v>133</v>
      </c>
    </row>
    <row r="157" spans="1:3" x14ac:dyDescent="0.25">
      <c r="A157" s="192" t="s">
        <v>558</v>
      </c>
      <c r="B157" t="s">
        <v>404</v>
      </c>
      <c r="C157" t="s">
        <v>133</v>
      </c>
    </row>
    <row r="158" spans="1:3" x14ac:dyDescent="0.25">
      <c r="A158" s="192" t="s">
        <v>559</v>
      </c>
      <c r="B158" t="s">
        <v>404</v>
      </c>
      <c r="C158" t="s">
        <v>133</v>
      </c>
    </row>
    <row r="159" spans="1:3" x14ac:dyDescent="0.25">
      <c r="A159" s="192" t="s">
        <v>560</v>
      </c>
      <c r="B159" t="s">
        <v>404</v>
      </c>
      <c r="C159" t="s">
        <v>133</v>
      </c>
    </row>
    <row r="160" spans="1:3" x14ac:dyDescent="0.25">
      <c r="A160" s="192" t="s">
        <v>561</v>
      </c>
      <c r="B160" t="s">
        <v>404</v>
      </c>
      <c r="C160" t="s">
        <v>133</v>
      </c>
    </row>
    <row r="161" spans="1:3" x14ac:dyDescent="0.25">
      <c r="A161" s="192" t="s">
        <v>562</v>
      </c>
      <c r="B161" t="s">
        <v>404</v>
      </c>
      <c r="C161" t="s">
        <v>133</v>
      </c>
    </row>
    <row r="162" spans="1:3" x14ac:dyDescent="0.25">
      <c r="A162" s="192" t="s">
        <v>563</v>
      </c>
      <c r="B162" t="s">
        <v>404</v>
      </c>
      <c r="C162" t="s">
        <v>133</v>
      </c>
    </row>
    <row r="163" spans="1:3" x14ac:dyDescent="0.25">
      <c r="A163" s="192" t="s">
        <v>564</v>
      </c>
      <c r="B163" t="s">
        <v>404</v>
      </c>
      <c r="C163" t="s">
        <v>133</v>
      </c>
    </row>
    <row r="164" spans="1:3" x14ac:dyDescent="0.25">
      <c r="A164" s="192" t="s">
        <v>565</v>
      </c>
      <c r="B164" t="s">
        <v>404</v>
      </c>
      <c r="C164" t="s">
        <v>133</v>
      </c>
    </row>
    <row r="165" spans="1:3" x14ac:dyDescent="0.25">
      <c r="A165" s="192" t="s">
        <v>566</v>
      </c>
      <c r="B165" t="s">
        <v>404</v>
      </c>
      <c r="C165" t="s">
        <v>133</v>
      </c>
    </row>
    <row r="166" spans="1:3" x14ac:dyDescent="0.25">
      <c r="A166" s="192" t="s">
        <v>567</v>
      </c>
      <c r="B166" t="s">
        <v>404</v>
      </c>
      <c r="C166" t="s">
        <v>133</v>
      </c>
    </row>
    <row r="167" spans="1:3" x14ac:dyDescent="0.25">
      <c r="A167" s="192" t="s">
        <v>568</v>
      </c>
      <c r="B167" t="s">
        <v>404</v>
      </c>
      <c r="C167" t="s">
        <v>133</v>
      </c>
    </row>
    <row r="168" spans="1:3" x14ac:dyDescent="0.25">
      <c r="A168" s="192" t="s">
        <v>569</v>
      </c>
      <c r="B168" t="s">
        <v>404</v>
      </c>
      <c r="C168" t="s">
        <v>133</v>
      </c>
    </row>
    <row r="169" spans="1:3" x14ac:dyDescent="0.25">
      <c r="A169" s="192" t="s">
        <v>570</v>
      </c>
      <c r="B169" t="s">
        <v>404</v>
      </c>
      <c r="C169" t="s">
        <v>133</v>
      </c>
    </row>
    <row r="170" spans="1:3" x14ac:dyDescent="0.25">
      <c r="A170" s="192" t="s">
        <v>571</v>
      </c>
      <c r="B170" t="s">
        <v>404</v>
      </c>
      <c r="C170" t="s">
        <v>133</v>
      </c>
    </row>
    <row r="171" spans="1:3" x14ac:dyDescent="0.25">
      <c r="A171" s="192" t="s">
        <v>572</v>
      </c>
      <c r="B171" t="s">
        <v>404</v>
      </c>
      <c r="C171" t="s">
        <v>133</v>
      </c>
    </row>
    <row r="172" spans="1:3" x14ac:dyDescent="0.25">
      <c r="A172" s="192" t="s">
        <v>573</v>
      </c>
      <c r="B172" t="s">
        <v>404</v>
      </c>
      <c r="C172" t="s">
        <v>133</v>
      </c>
    </row>
    <row r="173" spans="1:3" x14ac:dyDescent="0.25">
      <c r="A173" s="192" t="s">
        <v>574</v>
      </c>
      <c r="B173" t="s">
        <v>404</v>
      </c>
      <c r="C173" t="s">
        <v>133</v>
      </c>
    </row>
    <row r="174" spans="1:3" x14ac:dyDescent="0.25">
      <c r="A174" s="192" t="s">
        <v>575</v>
      </c>
      <c r="B174" t="s">
        <v>404</v>
      </c>
      <c r="C174" t="s">
        <v>133</v>
      </c>
    </row>
    <row r="175" spans="1:3" x14ac:dyDescent="0.25">
      <c r="A175" s="192" t="s">
        <v>576</v>
      </c>
      <c r="B175" t="s">
        <v>404</v>
      </c>
      <c r="C175" t="s">
        <v>133</v>
      </c>
    </row>
    <row r="176" spans="1:3" x14ac:dyDescent="0.25">
      <c r="A176" s="192" t="s">
        <v>577</v>
      </c>
      <c r="B176" t="s">
        <v>404</v>
      </c>
      <c r="C176" t="s">
        <v>133</v>
      </c>
    </row>
    <row r="177" spans="1:3" x14ac:dyDescent="0.25">
      <c r="A177" s="192" t="s">
        <v>578</v>
      </c>
      <c r="B177" t="s">
        <v>404</v>
      </c>
      <c r="C177" t="s">
        <v>133</v>
      </c>
    </row>
    <row r="178" spans="1:3" x14ac:dyDescent="0.25">
      <c r="A178" s="192" t="s">
        <v>579</v>
      </c>
      <c r="B178" t="s">
        <v>404</v>
      </c>
      <c r="C178" t="s">
        <v>133</v>
      </c>
    </row>
    <row r="179" spans="1:3" x14ac:dyDescent="0.25">
      <c r="A179" s="192" t="s">
        <v>580</v>
      </c>
      <c r="B179" t="s">
        <v>404</v>
      </c>
      <c r="C179" t="s">
        <v>133</v>
      </c>
    </row>
    <row r="180" spans="1:3" x14ac:dyDescent="0.25">
      <c r="A180" s="192" t="s">
        <v>581</v>
      </c>
      <c r="B180" t="s">
        <v>404</v>
      </c>
      <c r="C180" t="s">
        <v>133</v>
      </c>
    </row>
    <row r="181" spans="1:3" x14ac:dyDescent="0.25">
      <c r="A181" s="192" t="s">
        <v>582</v>
      </c>
      <c r="B181" t="s">
        <v>404</v>
      </c>
      <c r="C181" t="s">
        <v>133</v>
      </c>
    </row>
    <row r="182" spans="1:3" x14ac:dyDescent="0.25">
      <c r="A182" s="192" t="s">
        <v>583</v>
      </c>
      <c r="B182" t="s">
        <v>404</v>
      </c>
      <c r="C182" t="s">
        <v>133</v>
      </c>
    </row>
    <row r="183" spans="1:3" x14ac:dyDescent="0.25">
      <c r="A183" s="192" t="s">
        <v>584</v>
      </c>
      <c r="B183" t="s">
        <v>404</v>
      </c>
      <c r="C183" t="s">
        <v>133</v>
      </c>
    </row>
    <row r="184" spans="1:3" x14ac:dyDescent="0.25">
      <c r="A184" s="192" t="s">
        <v>585</v>
      </c>
      <c r="B184" t="s">
        <v>404</v>
      </c>
      <c r="C184" t="s">
        <v>133</v>
      </c>
    </row>
    <row r="185" spans="1:3" x14ac:dyDescent="0.25">
      <c r="A185" s="192" t="s">
        <v>586</v>
      </c>
      <c r="B185" t="s">
        <v>404</v>
      </c>
      <c r="C185" t="s">
        <v>133</v>
      </c>
    </row>
    <row r="186" spans="1:3" x14ac:dyDescent="0.25">
      <c r="A186" s="192" t="s">
        <v>587</v>
      </c>
      <c r="B186" t="s">
        <v>404</v>
      </c>
      <c r="C186" t="s">
        <v>133</v>
      </c>
    </row>
    <row r="187" spans="1:3" x14ac:dyDescent="0.25">
      <c r="A187" s="192" t="s">
        <v>588</v>
      </c>
      <c r="B187" t="s">
        <v>404</v>
      </c>
      <c r="C187" t="s">
        <v>133</v>
      </c>
    </row>
    <row r="188" spans="1:3" x14ac:dyDescent="0.25">
      <c r="A188" s="192" t="s">
        <v>589</v>
      </c>
      <c r="B188" t="s">
        <v>404</v>
      </c>
      <c r="C188" t="s">
        <v>133</v>
      </c>
    </row>
    <row r="189" spans="1:3" x14ac:dyDescent="0.25">
      <c r="A189" s="192" t="s">
        <v>590</v>
      </c>
      <c r="B189" t="s">
        <v>404</v>
      </c>
      <c r="C189" t="s">
        <v>133</v>
      </c>
    </row>
    <row r="190" spans="1:3" x14ac:dyDescent="0.25">
      <c r="A190" s="192" t="s">
        <v>591</v>
      </c>
      <c r="B190" t="s">
        <v>404</v>
      </c>
      <c r="C190" t="s">
        <v>133</v>
      </c>
    </row>
    <row r="191" spans="1:3" x14ac:dyDescent="0.25">
      <c r="A191" s="192" t="s">
        <v>592</v>
      </c>
      <c r="B191" t="s">
        <v>404</v>
      </c>
      <c r="C191" t="s">
        <v>133</v>
      </c>
    </row>
    <row r="192" spans="1:3" x14ac:dyDescent="0.25">
      <c r="A192" s="192" t="s">
        <v>593</v>
      </c>
      <c r="B192" t="s">
        <v>404</v>
      </c>
      <c r="C192" t="s">
        <v>133</v>
      </c>
    </row>
    <row r="193" spans="1:3" x14ac:dyDescent="0.25">
      <c r="A193" s="192" t="s">
        <v>594</v>
      </c>
      <c r="B193" t="s">
        <v>404</v>
      </c>
      <c r="C193" t="s">
        <v>133</v>
      </c>
    </row>
    <row r="194" spans="1:3" x14ac:dyDescent="0.25">
      <c r="A194" s="192" t="s">
        <v>595</v>
      </c>
      <c r="B194" t="s">
        <v>404</v>
      </c>
      <c r="C194" t="s">
        <v>133</v>
      </c>
    </row>
    <row r="195" spans="1:3" x14ac:dyDescent="0.25">
      <c r="A195" s="192" t="s">
        <v>596</v>
      </c>
      <c r="B195" t="s">
        <v>404</v>
      </c>
      <c r="C195" t="s">
        <v>133</v>
      </c>
    </row>
    <row r="196" spans="1:3" x14ac:dyDescent="0.25">
      <c r="A196" s="192" t="s">
        <v>597</v>
      </c>
      <c r="B196" t="s">
        <v>404</v>
      </c>
      <c r="C196" t="s">
        <v>133</v>
      </c>
    </row>
    <row r="197" spans="1:3" x14ac:dyDescent="0.25">
      <c r="A197" s="192" t="s">
        <v>598</v>
      </c>
      <c r="B197" t="s">
        <v>404</v>
      </c>
      <c r="C197" t="s">
        <v>133</v>
      </c>
    </row>
    <row r="198" spans="1:3" x14ac:dyDescent="0.25">
      <c r="A198" s="192" t="s">
        <v>599</v>
      </c>
      <c r="B198" t="s">
        <v>404</v>
      </c>
      <c r="C198" t="s">
        <v>133</v>
      </c>
    </row>
    <row r="199" spans="1:3" x14ac:dyDescent="0.25">
      <c r="A199" s="192" t="s">
        <v>600</v>
      </c>
      <c r="B199" t="s">
        <v>404</v>
      </c>
      <c r="C199" t="s">
        <v>133</v>
      </c>
    </row>
    <row r="200" spans="1:3" x14ac:dyDescent="0.25">
      <c r="A200" s="192" t="s">
        <v>601</v>
      </c>
      <c r="B200" t="s">
        <v>404</v>
      </c>
      <c r="C200" t="s">
        <v>133</v>
      </c>
    </row>
    <row r="201" spans="1:3" x14ac:dyDescent="0.25">
      <c r="A201" s="192" t="s">
        <v>602</v>
      </c>
      <c r="B201" t="s">
        <v>404</v>
      </c>
      <c r="C201" t="s">
        <v>133</v>
      </c>
    </row>
    <row r="202" spans="1:3" x14ac:dyDescent="0.25">
      <c r="A202" s="192" t="s">
        <v>603</v>
      </c>
      <c r="B202" t="s">
        <v>404</v>
      </c>
      <c r="C202" t="s">
        <v>133</v>
      </c>
    </row>
    <row r="203" spans="1:3" x14ac:dyDescent="0.25">
      <c r="A203" s="192" t="s">
        <v>604</v>
      </c>
      <c r="B203" t="s">
        <v>404</v>
      </c>
      <c r="C203" t="s">
        <v>133</v>
      </c>
    </row>
    <row r="204" spans="1:3" x14ac:dyDescent="0.25">
      <c r="A204" s="192" t="s">
        <v>605</v>
      </c>
      <c r="B204" t="s">
        <v>404</v>
      </c>
      <c r="C204" t="s">
        <v>133</v>
      </c>
    </row>
    <row r="205" spans="1:3" x14ac:dyDescent="0.25">
      <c r="A205" s="192" t="s">
        <v>606</v>
      </c>
      <c r="B205" t="s">
        <v>404</v>
      </c>
      <c r="C205" t="s">
        <v>133</v>
      </c>
    </row>
    <row r="206" spans="1:3" x14ac:dyDescent="0.25">
      <c r="A206" s="192" t="s">
        <v>607</v>
      </c>
      <c r="B206" t="s">
        <v>404</v>
      </c>
      <c r="C206" t="s">
        <v>133</v>
      </c>
    </row>
    <row r="207" spans="1:3" x14ac:dyDescent="0.25">
      <c r="A207" s="192" t="s">
        <v>608</v>
      </c>
      <c r="B207" t="s">
        <v>404</v>
      </c>
      <c r="C207" t="s">
        <v>133</v>
      </c>
    </row>
    <row r="208" spans="1:3" x14ac:dyDescent="0.25">
      <c r="A208" s="192" t="s">
        <v>609</v>
      </c>
      <c r="B208" t="s">
        <v>404</v>
      </c>
      <c r="C208" t="s">
        <v>133</v>
      </c>
    </row>
    <row r="209" spans="1:3" x14ac:dyDescent="0.25">
      <c r="A209" s="192" t="s">
        <v>610</v>
      </c>
      <c r="B209" t="s">
        <v>404</v>
      </c>
      <c r="C209" t="s">
        <v>133</v>
      </c>
    </row>
    <row r="210" spans="1:3" x14ac:dyDescent="0.25">
      <c r="A210" s="192" t="s">
        <v>611</v>
      </c>
      <c r="B210" t="s">
        <v>404</v>
      </c>
      <c r="C210" t="s">
        <v>133</v>
      </c>
    </row>
    <row r="211" spans="1:3" x14ac:dyDescent="0.25">
      <c r="A211" s="192" t="s">
        <v>612</v>
      </c>
      <c r="B211" t="s">
        <v>404</v>
      </c>
      <c r="C211" t="s">
        <v>133</v>
      </c>
    </row>
    <row r="212" spans="1:3" x14ac:dyDescent="0.25">
      <c r="A212" s="192" t="s">
        <v>613</v>
      </c>
      <c r="B212" t="s">
        <v>404</v>
      </c>
      <c r="C212" t="s">
        <v>133</v>
      </c>
    </row>
    <row r="213" spans="1:3" x14ac:dyDescent="0.25">
      <c r="A213" s="192" t="s">
        <v>614</v>
      </c>
      <c r="B213" t="s">
        <v>404</v>
      </c>
      <c r="C213" t="s">
        <v>133</v>
      </c>
    </row>
    <row r="214" spans="1:3" x14ac:dyDescent="0.25">
      <c r="A214" s="192" t="s">
        <v>615</v>
      </c>
      <c r="B214" t="s">
        <v>404</v>
      </c>
      <c r="C214" t="s">
        <v>133</v>
      </c>
    </row>
    <row r="215" spans="1:3" x14ac:dyDescent="0.25">
      <c r="A215" s="192" t="s">
        <v>616</v>
      </c>
      <c r="B215" t="s">
        <v>404</v>
      </c>
      <c r="C215" t="s">
        <v>133</v>
      </c>
    </row>
    <row r="216" spans="1:3" x14ac:dyDescent="0.25">
      <c r="A216" s="192" t="s">
        <v>617</v>
      </c>
      <c r="B216" t="s">
        <v>404</v>
      </c>
      <c r="C216" t="s">
        <v>133</v>
      </c>
    </row>
    <row r="217" spans="1:3" x14ac:dyDescent="0.25">
      <c r="A217" s="192" t="s">
        <v>618</v>
      </c>
      <c r="B217" t="s">
        <v>404</v>
      </c>
      <c r="C217" t="s">
        <v>133</v>
      </c>
    </row>
    <row r="218" spans="1:3" x14ac:dyDescent="0.25">
      <c r="A218" s="192" t="s">
        <v>619</v>
      </c>
      <c r="B218" t="s">
        <v>404</v>
      </c>
      <c r="C218" t="s">
        <v>133</v>
      </c>
    </row>
    <row r="219" spans="1:3" x14ac:dyDescent="0.25">
      <c r="A219" s="192" t="s">
        <v>620</v>
      </c>
      <c r="B219" t="s">
        <v>404</v>
      </c>
      <c r="C219" t="s">
        <v>133</v>
      </c>
    </row>
    <row r="220" spans="1:3" x14ac:dyDescent="0.25">
      <c r="A220" s="192" t="s">
        <v>621</v>
      </c>
      <c r="B220" t="s">
        <v>404</v>
      </c>
      <c r="C220" t="s">
        <v>133</v>
      </c>
    </row>
    <row r="221" spans="1:3" x14ac:dyDescent="0.25">
      <c r="A221" s="192" t="s">
        <v>622</v>
      </c>
      <c r="B221" t="s">
        <v>404</v>
      </c>
      <c r="C221" t="s">
        <v>133</v>
      </c>
    </row>
    <row r="222" spans="1:3" x14ac:dyDescent="0.25">
      <c r="A222" s="192" t="s">
        <v>623</v>
      </c>
      <c r="B222" t="s">
        <v>404</v>
      </c>
      <c r="C222" t="s">
        <v>133</v>
      </c>
    </row>
    <row r="223" spans="1:3" x14ac:dyDescent="0.25">
      <c r="A223" s="192" t="s">
        <v>624</v>
      </c>
      <c r="B223" t="s">
        <v>404</v>
      </c>
      <c r="C223" t="s">
        <v>133</v>
      </c>
    </row>
    <row r="224" spans="1:3" x14ac:dyDescent="0.25">
      <c r="A224" s="192" t="s">
        <v>625</v>
      </c>
      <c r="B224" t="s">
        <v>404</v>
      </c>
      <c r="C224" t="s">
        <v>133</v>
      </c>
    </row>
    <row r="225" spans="1:3" x14ac:dyDescent="0.25">
      <c r="A225" s="192" t="s">
        <v>626</v>
      </c>
      <c r="B225" t="s">
        <v>404</v>
      </c>
      <c r="C225" t="s">
        <v>133</v>
      </c>
    </row>
    <row r="226" spans="1:3" x14ac:dyDescent="0.25">
      <c r="A226" s="192" t="s">
        <v>627</v>
      </c>
      <c r="B226" t="s">
        <v>404</v>
      </c>
      <c r="C226" t="s">
        <v>133</v>
      </c>
    </row>
    <row r="227" spans="1:3" x14ac:dyDescent="0.25">
      <c r="A227" s="192" t="s">
        <v>628</v>
      </c>
      <c r="B227" t="s">
        <v>404</v>
      </c>
      <c r="C227" t="s">
        <v>133</v>
      </c>
    </row>
    <row r="228" spans="1:3" x14ac:dyDescent="0.25">
      <c r="A228" s="192" t="s">
        <v>629</v>
      </c>
      <c r="B228" t="s">
        <v>404</v>
      </c>
      <c r="C228" t="s">
        <v>133</v>
      </c>
    </row>
    <row r="229" spans="1:3" x14ac:dyDescent="0.25">
      <c r="A229" s="192" t="s">
        <v>630</v>
      </c>
      <c r="B229" t="s">
        <v>404</v>
      </c>
      <c r="C229" t="s">
        <v>133</v>
      </c>
    </row>
    <row r="230" spans="1:3" x14ac:dyDescent="0.25">
      <c r="A230" s="192" t="s">
        <v>631</v>
      </c>
      <c r="B230" t="s">
        <v>404</v>
      </c>
      <c r="C230" t="s">
        <v>133</v>
      </c>
    </row>
    <row r="231" spans="1:3" x14ac:dyDescent="0.25">
      <c r="A231" s="192" t="s">
        <v>632</v>
      </c>
      <c r="B231" t="s">
        <v>404</v>
      </c>
      <c r="C231" t="s">
        <v>133</v>
      </c>
    </row>
    <row r="232" spans="1:3" x14ac:dyDescent="0.25">
      <c r="A232" s="192" t="s">
        <v>633</v>
      </c>
      <c r="B232" t="s">
        <v>404</v>
      </c>
      <c r="C232" t="s">
        <v>133</v>
      </c>
    </row>
    <row r="233" spans="1:3" x14ac:dyDescent="0.25">
      <c r="A233" s="192" t="s">
        <v>634</v>
      </c>
      <c r="B233" t="s">
        <v>404</v>
      </c>
      <c r="C233" t="s">
        <v>133</v>
      </c>
    </row>
    <row r="234" spans="1:3" x14ac:dyDescent="0.25">
      <c r="A234" s="192" t="s">
        <v>635</v>
      </c>
      <c r="B234" t="s">
        <v>404</v>
      </c>
      <c r="C234" t="s">
        <v>133</v>
      </c>
    </row>
    <row r="235" spans="1:3" x14ac:dyDescent="0.25">
      <c r="A235" s="192" t="s">
        <v>636</v>
      </c>
      <c r="B235" t="s">
        <v>404</v>
      </c>
      <c r="C235" t="s">
        <v>133</v>
      </c>
    </row>
    <row r="236" spans="1:3" x14ac:dyDescent="0.25">
      <c r="A236" s="192" t="s">
        <v>637</v>
      </c>
      <c r="B236" t="s">
        <v>404</v>
      </c>
      <c r="C236" t="s">
        <v>133</v>
      </c>
    </row>
    <row r="237" spans="1:3" x14ac:dyDescent="0.25">
      <c r="A237" s="192" t="s">
        <v>638</v>
      </c>
      <c r="B237" t="s">
        <v>404</v>
      </c>
      <c r="C237" t="s">
        <v>133</v>
      </c>
    </row>
    <row r="238" spans="1:3" x14ac:dyDescent="0.25">
      <c r="A238" s="192" t="s">
        <v>639</v>
      </c>
      <c r="B238" t="s">
        <v>404</v>
      </c>
      <c r="C238" t="s">
        <v>133</v>
      </c>
    </row>
    <row r="239" spans="1:3" x14ac:dyDescent="0.25">
      <c r="A239" s="192" t="s">
        <v>640</v>
      </c>
      <c r="B239" t="s">
        <v>404</v>
      </c>
      <c r="C239" t="s">
        <v>133</v>
      </c>
    </row>
    <row r="240" spans="1:3" x14ac:dyDescent="0.25">
      <c r="A240" s="192" t="s">
        <v>641</v>
      </c>
      <c r="B240" t="s">
        <v>404</v>
      </c>
      <c r="C240" t="s">
        <v>133</v>
      </c>
    </row>
    <row r="241" spans="1:3" x14ac:dyDescent="0.25">
      <c r="A241" s="192" t="s">
        <v>642</v>
      </c>
      <c r="B241" t="s">
        <v>404</v>
      </c>
      <c r="C241" t="s">
        <v>133</v>
      </c>
    </row>
    <row r="242" spans="1:3" x14ac:dyDescent="0.25">
      <c r="A242" s="192" t="s">
        <v>643</v>
      </c>
      <c r="B242" t="s">
        <v>404</v>
      </c>
      <c r="C242" t="s">
        <v>133</v>
      </c>
    </row>
    <row r="243" spans="1:3" x14ac:dyDescent="0.25">
      <c r="A243" s="192" t="s">
        <v>644</v>
      </c>
      <c r="B243" t="s">
        <v>404</v>
      </c>
      <c r="C243" t="s">
        <v>133</v>
      </c>
    </row>
    <row r="244" spans="1:3" x14ac:dyDescent="0.25">
      <c r="A244" s="192" t="s">
        <v>645</v>
      </c>
      <c r="B244" t="s">
        <v>404</v>
      </c>
      <c r="C244" t="s">
        <v>133</v>
      </c>
    </row>
    <row r="245" spans="1:3" x14ac:dyDescent="0.25">
      <c r="A245" s="192" t="s">
        <v>646</v>
      </c>
      <c r="B245" t="s">
        <v>404</v>
      </c>
      <c r="C245" t="s">
        <v>133</v>
      </c>
    </row>
    <row r="246" spans="1:3" x14ac:dyDescent="0.25">
      <c r="A246" s="192" t="s">
        <v>647</v>
      </c>
      <c r="B246" t="s">
        <v>404</v>
      </c>
      <c r="C246" t="s">
        <v>133</v>
      </c>
    </row>
    <row r="247" spans="1:3" x14ac:dyDescent="0.25">
      <c r="A247" s="192" t="s">
        <v>648</v>
      </c>
      <c r="B247" t="s">
        <v>404</v>
      </c>
      <c r="C247" t="s">
        <v>133</v>
      </c>
    </row>
    <row r="248" spans="1:3" x14ac:dyDescent="0.25">
      <c r="A248" s="192" t="s">
        <v>649</v>
      </c>
      <c r="B248" t="s">
        <v>404</v>
      </c>
      <c r="C248" t="s">
        <v>133</v>
      </c>
    </row>
    <row r="249" spans="1:3" x14ac:dyDescent="0.25">
      <c r="A249" s="192" t="s">
        <v>650</v>
      </c>
      <c r="B249" t="s">
        <v>404</v>
      </c>
      <c r="C249" t="s">
        <v>133</v>
      </c>
    </row>
    <row r="250" spans="1:3" x14ac:dyDescent="0.25">
      <c r="A250" s="192" t="s">
        <v>651</v>
      </c>
      <c r="B250" t="s">
        <v>404</v>
      </c>
      <c r="C250" t="s">
        <v>133</v>
      </c>
    </row>
    <row r="251" spans="1:3" x14ac:dyDescent="0.25">
      <c r="A251" s="192" t="s">
        <v>652</v>
      </c>
      <c r="B251" t="s">
        <v>404</v>
      </c>
      <c r="C251" t="s">
        <v>133</v>
      </c>
    </row>
    <row r="252" spans="1:3" x14ac:dyDescent="0.25">
      <c r="A252" s="192" t="s">
        <v>653</v>
      </c>
      <c r="B252" t="s">
        <v>404</v>
      </c>
      <c r="C252" t="s">
        <v>133</v>
      </c>
    </row>
    <row r="253" spans="1:3" x14ac:dyDescent="0.25">
      <c r="A253" s="192" t="s">
        <v>654</v>
      </c>
      <c r="B253" t="s">
        <v>404</v>
      </c>
      <c r="C253" t="s">
        <v>133</v>
      </c>
    </row>
    <row r="254" spans="1:3" x14ac:dyDescent="0.25">
      <c r="A254" s="192" t="s">
        <v>655</v>
      </c>
      <c r="B254" t="s">
        <v>404</v>
      </c>
      <c r="C254" t="s">
        <v>133</v>
      </c>
    </row>
    <row r="255" spans="1:3" x14ac:dyDescent="0.25">
      <c r="A255" s="192" t="s">
        <v>656</v>
      </c>
      <c r="B255" t="s">
        <v>404</v>
      </c>
      <c r="C255" t="s">
        <v>133</v>
      </c>
    </row>
    <row r="256" spans="1:3" x14ac:dyDescent="0.25">
      <c r="A256" s="192" t="s">
        <v>657</v>
      </c>
      <c r="B256" t="s">
        <v>404</v>
      </c>
      <c r="C256" t="s">
        <v>133</v>
      </c>
    </row>
    <row r="257" spans="1:3" x14ac:dyDescent="0.25">
      <c r="A257" s="192" t="s">
        <v>658</v>
      </c>
      <c r="B257" t="s">
        <v>404</v>
      </c>
      <c r="C257" t="s">
        <v>133</v>
      </c>
    </row>
    <row r="258" spans="1:3" x14ac:dyDescent="0.25">
      <c r="A258" s="192" t="s">
        <v>659</v>
      </c>
      <c r="B258" t="s">
        <v>404</v>
      </c>
      <c r="C258" t="s">
        <v>133</v>
      </c>
    </row>
    <row r="259" spans="1:3" x14ac:dyDescent="0.25">
      <c r="A259" s="192" t="s">
        <v>660</v>
      </c>
      <c r="B259" t="s">
        <v>404</v>
      </c>
      <c r="C259" t="s">
        <v>133</v>
      </c>
    </row>
    <row r="260" spans="1:3" x14ac:dyDescent="0.25">
      <c r="A260" s="192" t="s">
        <v>661</v>
      </c>
      <c r="B260" t="s">
        <v>404</v>
      </c>
      <c r="C260" t="s">
        <v>133</v>
      </c>
    </row>
    <row r="261" spans="1:3" x14ac:dyDescent="0.25">
      <c r="A261" s="192" t="s">
        <v>662</v>
      </c>
      <c r="B261" t="s">
        <v>404</v>
      </c>
      <c r="C261" t="s">
        <v>133</v>
      </c>
    </row>
    <row r="262" spans="1:3" x14ac:dyDescent="0.25">
      <c r="A262" s="192" t="s">
        <v>663</v>
      </c>
      <c r="B262" t="s">
        <v>404</v>
      </c>
      <c r="C262" t="s">
        <v>133</v>
      </c>
    </row>
    <row r="263" spans="1:3" x14ac:dyDescent="0.25">
      <c r="A263" s="192" t="s">
        <v>664</v>
      </c>
      <c r="B263" t="s">
        <v>404</v>
      </c>
      <c r="C263" t="s">
        <v>133</v>
      </c>
    </row>
    <row r="264" spans="1:3" x14ac:dyDescent="0.25">
      <c r="A264" s="192" t="s">
        <v>665</v>
      </c>
      <c r="B264" t="s">
        <v>404</v>
      </c>
      <c r="C264" t="s">
        <v>133</v>
      </c>
    </row>
    <row r="265" spans="1:3" x14ac:dyDescent="0.25">
      <c r="A265" s="192" t="s">
        <v>666</v>
      </c>
      <c r="B265" t="s">
        <v>404</v>
      </c>
      <c r="C265" t="s">
        <v>133</v>
      </c>
    </row>
    <row r="266" spans="1:3" x14ac:dyDescent="0.25">
      <c r="A266" s="192" t="s">
        <v>667</v>
      </c>
      <c r="B266" t="s">
        <v>404</v>
      </c>
      <c r="C266" t="s">
        <v>133</v>
      </c>
    </row>
    <row r="267" spans="1:3" x14ac:dyDescent="0.25">
      <c r="A267" s="192" t="s">
        <v>668</v>
      </c>
      <c r="B267" t="s">
        <v>404</v>
      </c>
      <c r="C267" t="s">
        <v>133</v>
      </c>
    </row>
    <row r="268" spans="1:3" x14ac:dyDescent="0.25">
      <c r="A268" s="192" t="s">
        <v>669</v>
      </c>
      <c r="B268" t="s">
        <v>404</v>
      </c>
      <c r="C268" t="s">
        <v>133</v>
      </c>
    </row>
    <row r="269" spans="1:3" x14ac:dyDescent="0.25">
      <c r="A269" s="192" t="s">
        <v>670</v>
      </c>
      <c r="B269" t="s">
        <v>404</v>
      </c>
      <c r="C269" t="s">
        <v>133</v>
      </c>
    </row>
    <row r="270" spans="1:3" x14ac:dyDescent="0.25">
      <c r="A270" s="192" t="s">
        <v>671</v>
      </c>
      <c r="B270" t="s">
        <v>404</v>
      </c>
      <c r="C270" t="s">
        <v>133</v>
      </c>
    </row>
    <row r="271" spans="1:3" x14ac:dyDescent="0.25">
      <c r="A271" s="192" t="s">
        <v>672</v>
      </c>
      <c r="B271" t="s">
        <v>404</v>
      </c>
      <c r="C271" t="s">
        <v>133</v>
      </c>
    </row>
    <row r="272" spans="1:3" x14ac:dyDescent="0.25">
      <c r="A272" s="192" t="s">
        <v>673</v>
      </c>
      <c r="B272" t="s">
        <v>404</v>
      </c>
      <c r="C272" t="s">
        <v>133</v>
      </c>
    </row>
    <row r="273" spans="1:3" x14ac:dyDescent="0.25">
      <c r="A273" s="192" t="s">
        <v>674</v>
      </c>
      <c r="B273" t="s">
        <v>404</v>
      </c>
      <c r="C273" t="s">
        <v>133</v>
      </c>
    </row>
    <row r="274" spans="1:3" x14ac:dyDescent="0.25">
      <c r="A274" s="192" t="s">
        <v>675</v>
      </c>
      <c r="B274" t="s">
        <v>404</v>
      </c>
      <c r="C274" t="s">
        <v>133</v>
      </c>
    </row>
    <row r="275" spans="1:3" x14ac:dyDescent="0.25">
      <c r="A275" s="192" t="s">
        <v>676</v>
      </c>
      <c r="B275" t="s">
        <v>404</v>
      </c>
      <c r="C275" t="s">
        <v>133</v>
      </c>
    </row>
    <row r="276" spans="1:3" x14ac:dyDescent="0.25">
      <c r="A276" s="192" t="s">
        <v>677</v>
      </c>
      <c r="B276" t="s">
        <v>404</v>
      </c>
      <c r="C276" t="s">
        <v>133</v>
      </c>
    </row>
    <row r="277" spans="1:3" x14ac:dyDescent="0.25">
      <c r="A277" s="192" t="s">
        <v>678</v>
      </c>
      <c r="B277" t="s">
        <v>404</v>
      </c>
      <c r="C277" t="s">
        <v>133</v>
      </c>
    </row>
    <row r="278" spans="1:3" x14ac:dyDescent="0.25">
      <c r="A278" s="192" t="s">
        <v>679</v>
      </c>
      <c r="B278" t="s">
        <v>404</v>
      </c>
      <c r="C278" t="s">
        <v>133</v>
      </c>
    </row>
    <row r="279" spans="1:3" x14ac:dyDescent="0.25">
      <c r="A279" s="192" t="s">
        <v>680</v>
      </c>
      <c r="B279" t="s">
        <v>404</v>
      </c>
      <c r="C279" t="s">
        <v>133</v>
      </c>
    </row>
    <row r="280" spans="1:3" x14ac:dyDescent="0.25">
      <c r="A280" s="192" t="s">
        <v>681</v>
      </c>
      <c r="B280" t="s">
        <v>404</v>
      </c>
      <c r="C280" t="s">
        <v>133</v>
      </c>
    </row>
    <row r="281" spans="1:3" x14ac:dyDescent="0.25">
      <c r="A281" s="192" t="s">
        <v>682</v>
      </c>
      <c r="B281" t="s">
        <v>404</v>
      </c>
      <c r="C281" t="s">
        <v>133</v>
      </c>
    </row>
    <row r="282" spans="1:3" x14ac:dyDescent="0.25">
      <c r="A282" s="192" t="s">
        <v>683</v>
      </c>
      <c r="B282" t="s">
        <v>404</v>
      </c>
      <c r="C282" t="s">
        <v>133</v>
      </c>
    </row>
    <row r="283" spans="1:3" x14ac:dyDescent="0.25">
      <c r="A283" s="192" t="s">
        <v>684</v>
      </c>
      <c r="B283" t="s">
        <v>404</v>
      </c>
      <c r="C283" t="s">
        <v>133</v>
      </c>
    </row>
    <row r="284" spans="1:3" x14ac:dyDescent="0.25">
      <c r="A284" s="192" t="s">
        <v>685</v>
      </c>
      <c r="B284" t="s">
        <v>404</v>
      </c>
      <c r="C284" t="s">
        <v>133</v>
      </c>
    </row>
    <row r="285" spans="1:3" x14ac:dyDescent="0.25">
      <c r="A285" s="192" t="s">
        <v>686</v>
      </c>
      <c r="B285" t="s">
        <v>404</v>
      </c>
      <c r="C285" t="s">
        <v>133</v>
      </c>
    </row>
    <row r="286" spans="1:3" x14ac:dyDescent="0.25">
      <c r="A286" s="192" t="s">
        <v>687</v>
      </c>
      <c r="B286" t="s">
        <v>404</v>
      </c>
      <c r="C286" t="s">
        <v>133</v>
      </c>
    </row>
    <row r="287" spans="1:3" x14ac:dyDescent="0.25">
      <c r="A287" s="192" t="s">
        <v>688</v>
      </c>
      <c r="B287" t="s">
        <v>404</v>
      </c>
      <c r="C287" t="s">
        <v>133</v>
      </c>
    </row>
    <row r="288" spans="1:3" x14ac:dyDescent="0.25">
      <c r="A288" s="192" t="s">
        <v>689</v>
      </c>
      <c r="B288" t="s">
        <v>404</v>
      </c>
      <c r="C288" t="s">
        <v>133</v>
      </c>
    </row>
    <row r="289" spans="1:3" x14ac:dyDescent="0.25">
      <c r="A289" s="192" t="s">
        <v>690</v>
      </c>
      <c r="B289" t="s">
        <v>404</v>
      </c>
      <c r="C289" t="s">
        <v>133</v>
      </c>
    </row>
    <row r="290" spans="1:3" x14ac:dyDescent="0.25">
      <c r="A290" s="192" t="s">
        <v>691</v>
      </c>
      <c r="B290" t="s">
        <v>404</v>
      </c>
      <c r="C290" t="s">
        <v>133</v>
      </c>
    </row>
    <row r="291" spans="1:3" x14ac:dyDescent="0.25">
      <c r="A291" s="192" t="s">
        <v>692</v>
      </c>
      <c r="B291" t="s">
        <v>404</v>
      </c>
      <c r="C291" t="s">
        <v>133</v>
      </c>
    </row>
    <row r="292" spans="1:3" x14ac:dyDescent="0.25">
      <c r="A292" s="192" t="s">
        <v>693</v>
      </c>
      <c r="B292" t="s">
        <v>404</v>
      </c>
      <c r="C292" t="s">
        <v>133</v>
      </c>
    </row>
    <row r="293" spans="1:3" x14ac:dyDescent="0.25">
      <c r="A293" s="192" t="s">
        <v>694</v>
      </c>
      <c r="B293" t="s">
        <v>404</v>
      </c>
      <c r="C293" t="s">
        <v>133</v>
      </c>
    </row>
    <row r="294" spans="1:3" x14ac:dyDescent="0.25">
      <c r="A294" s="192" t="s">
        <v>695</v>
      </c>
      <c r="B294" t="s">
        <v>404</v>
      </c>
      <c r="C294" t="s">
        <v>133</v>
      </c>
    </row>
    <row r="295" spans="1:3" x14ac:dyDescent="0.25">
      <c r="A295" s="192" t="s">
        <v>696</v>
      </c>
      <c r="B295" t="s">
        <v>404</v>
      </c>
      <c r="C295" t="s">
        <v>133</v>
      </c>
    </row>
    <row r="296" spans="1:3" x14ac:dyDescent="0.25">
      <c r="A296" s="192" t="s">
        <v>697</v>
      </c>
      <c r="B296" t="s">
        <v>404</v>
      </c>
      <c r="C296" t="s">
        <v>133</v>
      </c>
    </row>
    <row r="297" spans="1:3" x14ac:dyDescent="0.25">
      <c r="A297" s="192" t="s">
        <v>698</v>
      </c>
      <c r="B297" t="s">
        <v>404</v>
      </c>
      <c r="C297" t="s">
        <v>133</v>
      </c>
    </row>
    <row r="298" spans="1:3" x14ac:dyDescent="0.25">
      <c r="A298" s="192" t="s">
        <v>699</v>
      </c>
      <c r="B298" t="s">
        <v>404</v>
      </c>
      <c r="C298" t="s">
        <v>133</v>
      </c>
    </row>
    <row r="299" spans="1:3" x14ac:dyDescent="0.25">
      <c r="A299" s="192" t="s">
        <v>700</v>
      </c>
      <c r="B299" t="s">
        <v>404</v>
      </c>
      <c r="C299" t="s">
        <v>133</v>
      </c>
    </row>
    <row r="300" spans="1:3" x14ac:dyDescent="0.25">
      <c r="A300" s="192" t="s">
        <v>701</v>
      </c>
      <c r="B300" t="s">
        <v>404</v>
      </c>
      <c r="C300" t="s">
        <v>133</v>
      </c>
    </row>
    <row r="301" spans="1:3" x14ac:dyDescent="0.25">
      <c r="A301" s="192" t="s">
        <v>702</v>
      </c>
      <c r="B301" t="s">
        <v>404</v>
      </c>
      <c r="C301" t="s">
        <v>133</v>
      </c>
    </row>
    <row r="302" spans="1:3" x14ac:dyDescent="0.25">
      <c r="A302" s="192" t="s">
        <v>703</v>
      </c>
      <c r="B302" t="s">
        <v>404</v>
      </c>
      <c r="C302" t="s">
        <v>133</v>
      </c>
    </row>
    <row r="303" spans="1:3" x14ac:dyDescent="0.25">
      <c r="A303" s="192" t="s">
        <v>704</v>
      </c>
      <c r="B303" t="s">
        <v>404</v>
      </c>
      <c r="C303" t="s">
        <v>133</v>
      </c>
    </row>
    <row r="304" spans="1:3" x14ac:dyDescent="0.25">
      <c r="A304" s="192" t="s">
        <v>705</v>
      </c>
      <c r="B304" t="s">
        <v>404</v>
      </c>
      <c r="C304" t="s">
        <v>133</v>
      </c>
    </row>
    <row r="305" spans="1:3" x14ac:dyDescent="0.25">
      <c r="A305" s="192" t="s">
        <v>706</v>
      </c>
      <c r="B305" t="s">
        <v>404</v>
      </c>
      <c r="C305" t="s">
        <v>133</v>
      </c>
    </row>
    <row r="306" spans="1:3" x14ac:dyDescent="0.25">
      <c r="A306" s="192" t="s">
        <v>707</v>
      </c>
      <c r="B306" t="s">
        <v>404</v>
      </c>
      <c r="C306" t="s">
        <v>133</v>
      </c>
    </row>
    <row r="307" spans="1:3" x14ac:dyDescent="0.25">
      <c r="A307" s="192" t="s">
        <v>708</v>
      </c>
      <c r="B307" t="s">
        <v>404</v>
      </c>
      <c r="C307" t="s">
        <v>133</v>
      </c>
    </row>
    <row r="308" spans="1:3" x14ac:dyDescent="0.25">
      <c r="A308" s="192" t="s">
        <v>709</v>
      </c>
      <c r="B308" t="s">
        <v>404</v>
      </c>
      <c r="C308" t="s">
        <v>133</v>
      </c>
    </row>
    <row r="309" spans="1:3" x14ac:dyDescent="0.25">
      <c r="A309" s="192" t="s">
        <v>710</v>
      </c>
      <c r="B309" t="s">
        <v>404</v>
      </c>
      <c r="C309" t="s">
        <v>133</v>
      </c>
    </row>
    <row r="310" spans="1:3" x14ac:dyDescent="0.25">
      <c r="A310" s="192" t="s">
        <v>711</v>
      </c>
      <c r="B310" t="s">
        <v>404</v>
      </c>
      <c r="C310" t="s">
        <v>133</v>
      </c>
    </row>
    <row r="311" spans="1:3" x14ac:dyDescent="0.25">
      <c r="A311" s="192" t="s">
        <v>712</v>
      </c>
      <c r="B311" t="s">
        <v>404</v>
      </c>
      <c r="C311" t="s">
        <v>133</v>
      </c>
    </row>
    <row r="312" spans="1:3" x14ac:dyDescent="0.25">
      <c r="A312" s="192" t="s">
        <v>713</v>
      </c>
      <c r="B312" t="s">
        <v>404</v>
      </c>
      <c r="C312" t="s">
        <v>133</v>
      </c>
    </row>
    <row r="313" spans="1:3" x14ac:dyDescent="0.25">
      <c r="A313" s="192" t="s">
        <v>714</v>
      </c>
      <c r="B313" t="s">
        <v>404</v>
      </c>
      <c r="C313" t="s">
        <v>133</v>
      </c>
    </row>
    <row r="314" spans="1:3" x14ac:dyDescent="0.25">
      <c r="A314" s="192" t="s">
        <v>715</v>
      </c>
      <c r="B314" t="s">
        <v>404</v>
      </c>
      <c r="C314" t="s">
        <v>133</v>
      </c>
    </row>
    <row r="315" spans="1:3" x14ac:dyDescent="0.25">
      <c r="A315" s="192" t="s">
        <v>716</v>
      </c>
      <c r="B315" t="s">
        <v>404</v>
      </c>
      <c r="C315" t="s">
        <v>133</v>
      </c>
    </row>
    <row r="316" spans="1:3" x14ac:dyDescent="0.25">
      <c r="A316" s="192" t="s">
        <v>717</v>
      </c>
      <c r="B316" t="s">
        <v>404</v>
      </c>
      <c r="C316" t="s">
        <v>133</v>
      </c>
    </row>
    <row r="317" spans="1:3" x14ac:dyDescent="0.25">
      <c r="A317" s="192" t="s">
        <v>718</v>
      </c>
      <c r="B317" t="s">
        <v>404</v>
      </c>
      <c r="C317" t="s">
        <v>133</v>
      </c>
    </row>
    <row r="318" spans="1:3" x14ac:dyDescent="0.25">
      <c r="A318" s="192" t="s">
        <v>719</v>
      </c>
      <c r="B318" t="s">
        <v>404</v>
      </c>
      <c r="C318" t="s">
        <v>133</v>
      </c>
    </row>
    <row r="319" spans="1:3" x14ac:dyDescent="0.25">
      <c r="A319" s="192" t="s">
        <v>720</v>
      </c>
      <c r="B319" t="s">
        <v>404</v>
      </c>
      <c r="C319" t="s">
        <v>133</v>
      </c>
    </row>
    <row r="320" spans="1:3" x14ac:dyDescent="0.25">
      <c r="A320" s="192" t="s">
        <v>721</v>
      </c>
      <c r="B320" t="s">
        <v>404</v>
      </c>
      <c r="C320" t="s">
        <v>133</v>
      </c>
    </row>
    <row r="321" spans="1:3" x14ac:dyDescent="0.25">
      <c r="A321" s="192" t="s">
        <v>722</v>
      </c>
      <c r="B321" t="s">
        <v>404</v>
      </c>
      <c r="C321" t="s">
        <v>133</v>
      </c>
    </row>
    <row r="322" spans="1:3" x14ac:dyDescent="0.25">
      <c r="A322" s="192" t="s">
        <v>723</v>
      </c>
      <c r="B322" t="s">
        <v>404</v>
      </c>
      <c r="C322" t="s">
        <v>133</v>
      </c>
    </row>
    <row r="323" spans="1:3" x14ac:dyDescent="0.25">
      <c r="A323" s="192" t="s">
        <v>724</v>
      </c>
      <c r="B323" t="s">
        <v>404</v>
      </c>
      <c r="C323" t="s">
        <v>133</v>
      </c>
    </row>
    <row r="324" spans="1:3" x14ac:dyDescent="0.25">
      <c r="A324" s="192" t="s">
        <v>725</v>
      </c>
      <c r="B324" t="s">
        <v>404</v>
      </c>
      <c r="C324" t="s">
        <v>133</v>
      </c>
    </row>
    <row r="325" spans="1:3" x14ac:dyDescent="0.25">
      <c r="A325" s="192" t="s">
        <v>726</v>
      </c>
      <c r="B325" t="s">
        <v>404</v>
      </c>
      <c r="C325" t="s">
        <v>133</v>
      </c>
    </row>
    <row r="326" spans="1:3" x14ac:dyDescent="0.25">
      <c r="A326" s="192" t="s">
        <v>727</v>
      </c>
      <c r="B326" t="s">
        <v>404</v>
      </c>
      <c r="C326" t="s">
        <v>133</v>
      </c>
    </row>
    <row r="327" spans="1:3" x14ac:dyDescent="0.25">
      <c r="A327" s="192" t="s">
        <v>728</v>
      </c>
      <c r="B327" t="s">
        <v>404</v>
      </c>
      <c r="C327" t="s">
        <v>133</v>
      </c>
    </row>
    <row r="328" spans="1:3" x14ac:dyDescent="0.25">
      <c r="A328" s="192" t="s">
        <v>729</v>
      </c>
      <c r="B328" t="s">
        <v>404</v>
      </c>
      <c r="C328" t="s">
        <v>133</v>
      </c>
    </row>
    <row r="329" spans="1:3" x14ac:dyDescent="0.25">
      <c r="A329" s="192" t="s">
        <v>730</v>
      </c>
      <c r="B329" t="s">
        <v>404</v>
      </c>
      <c r="C329" t="s">
        <v>133</v>
      </c>
    </row>
    <row r="330" spans="1:3" x14ac:dyDescent="0.25">
      <c r="A330" s="192" t="s">
        <v>731</v>
      </c>
      <c r="B330" t="s">
        <v>404</v>
      </c>
      <c r="C330" t="s">
        <v>133</v>
      </c>
    </row>
    <row r="331" spans="1:3" x14ac:dyDescent="0.25">
      <c r="A331" s="192" t="s">
        <v>732</v>
      </c>
      <c r="B331" t="s">
        <v>404</v>
      </c>
      <c r="C331" t="s">
        <v>133</v>
      </c>
    </row>
    <row r="332" spans="1:3" x14ac:dyDescent="0.25">
      <c r="A332" s="192" t="s">
        <v>733</v>
      </c>
      <c r="B332" t="s">
        <v>404</v>
      </c>
      <c r="C332" t="s">
        <v>133</v>
      </c>
    </row>
    <row r="333" spans="1:3" x14ac:dyDescent="0.25">
      <c r="A333" s="192" t="s">
        <v>734</v>
      </c>
      <c r="B333" t="s">
        <v>404</v>
      </c>
      <c r="C333" t="s">
        <v>133</v>
      </c>
    </row>
    <row r="334" spans="1:3" x14ac:dyDescent="0.25">
      <c r="A334" s="192" t="s">
        <v>735</v>
      </c>
      <c r="B334" t="s">
        <v>404</v>
      </c>
      <c r="C334" t="s">
        <v>133</v>
      </c>
    </row>
    <row r="335" spans="1:3" x14ac:dyDescent="0.25">
      <c r="A335" s="192" t="s">
        <v>736</v>
      </c>
      <c r="B335" t="s">
        <v>404</v>
      </c>
      <c r="C335" t="s">
        <v>133</v>
      </c>
    </row>
    <row r="336" spans="1:3" x14ac:dyDescent="0.25">
      <c r="A336" s="192" t="s">
        <v>737</v>
      </c>
      <c r="B336" t="s">
        <v>404</v>
      </c>
      <c r="C336" t="s">
        <v>133</v>
      </c>
    </row>
    <row r="337" spans="1:3" x14ac:dyDescent="0.25">
      <c r="A337" s="192" t="s">
        <v>738</v>
      </c>
      <c r="B337" t="s">
        <v>404</v>
      </c>
      <c r="C337" t="s">
        <v>133</v>
      </c>
    </row>
    <row r="338" spans="1:3" x14ac:dyDescent="0.25">
      <c r="A338" s="192" t="s">
        <v>739</v>
      </c>
      <c r="B338" t="s">
        <v>404</v>
      </c>
      <c r="C338" t="s">
        <v>133</v>
      </c>
    </row>
    <row r="339" spans="1:3" x14ac:dyDescent="0.25">
      <c r="A339" s="192" t="s">
        <v>740</v>
      </c>
      <c r="B339" t="s">
        <v>404</v>
      </c>
      <c r="C339" t="s">
        <v>133</v>
      </c>
    </row>
    <row r="340" spans="1:3" x14ac:dyDescent="0.25">
      <c r="A340" s="192" t="s">
        <v>741</v>
      </c>
      <c r="B340" t="s">
        <v>404</v>
      </c>
      <c r="C340" t="s">
        <v>133</v>
      </c>
    </row>
    <row r="341" spans="1:3" x14ac:dyDescent="0.25">
      <c r="A341" s="192" t="s">
        <v>742</v>
      </c>
      <c r="B341" t="s">
        <v>404</v>
      </c>
      <c r="C341" t="s">
        <v>133</v>
      </c>
    </row>
    <row r="342" spans="1:3" x14ac:dyDescent="0.25">
      <c r="A342" s="192" t="s">
        <v>743</v>
      </c>
      <c r="B342" t="s">
        <v>404</v>
      </c>
      <c r="C342" t="s">
        <v>133</v>
      </c>
    </row>
    <row r="343" spans="1:3" x14ac:dyDescent="0.25">
      <c r="A343" s="192" t="s">
        <v>744</v>
      </c>
      <c r="B343" t="s">
        <v>404</v>
      </c>
      <c r="C343" t="s">
        <v>133</v>
      </c>
    </row>
    <row r="344" spans="1:3" x14ac:dyDescent="0.25">
      <c r="A344" s="192" t="s">
        <v>745</v>
      </c>
      <c r="B344" t="s">
        <v>404</v>
      </c>
      <c r="C344" t="s">
        <v>133</v>
      </c>
    </row>
    <row r="345" spans="1:3" x14ac:dyDescent="0.25">
      <c r="A345" s="192" t="s">
        <v>746</v>
      </c>
      <c r="B345" t="s">
        <v>404</v>
      </c>
      <c r="C345" t="s">
        <v>133</v>
      </c>
    </row>
    <row r="346" spans="1:3" x14ac:dyDescent="0.25">
      <c r="A346" s="192" t="s">
        <v>747</v>
      </c>
      <c r="B346" t="s">
        <v>404</v>
      </c>
      <c r="C346" t="s">
        <v>133</v>
      </c>
    </row>
    <row r="347" spans="1:3" x14ac:dyDescent="0.25">
      <c r="A347" s="192" t="s">
        <v>748</v>
      </c>
      <c r="B347" t="s">
        <v>404</v>
      </c>
      <c r="C347" t="s">
        <v>133</v>
      </c>
    </row>
    <row r="348" spans="1:3" x14ac:dyDescent="0.25">
      <c r="A348" s="192" t="s">
        <v>749</v>
      </c>
      <c r="B348" t="s">
        <v>404</v>
      </c>
      <c r="C348" t="s">
        <v>133</v>
      </c>
    </row>
    <row r="349" spans="1:3" x14ac:dyDescent="0.25">
      <c r="A349" s="192" t="s">
        <v>750</v>
      </c>
      <c r="B349" t="s">
        <v>404</v>
      </c>
      <c r="C349" t="s">
        <v>133</v>
      </c>
    </row>
    <row r="350" spans="1:3" x14ac:dyDescent="0.25">
      <c r="A350" s="192" t="s">
        <v>751</v>
      </c>
      <c r="B350" t="s">
        <v>404</v>
      </c>
      <c r="C350" t="s">
        <v>133</v>
      </c>
    </row>
    <row r="351" spans="1:3" x14ac:dyDescent="0.25">
      <c r="A351" s="192" t="s">
        <v>752</v>
      </c>
      <c r="B351" t="s">
        <v>404</v>
      </c>
      <c r="C351" t="s">
        <v>133</v>
      </c>
    </row>
    <row r="352" spans="1:3" x14ac:dyDescent="0.25">
      <c r="A352" s="192" t="s">
        <v>753</v>
      </c>
      <c r="B352" t="s">
        <v>404</v>
      </c>
      <c r="C352" t="s">
        <v>133</v>
      </c>
    </row>
    <row r="353" spans="1:3" x14ac:dyDescent="0.25">
      <c r="A353" s="192" t="s">
        <v>754</v>
      </c>
      <c r="B353" t="s">
        <v>404</v>
      </c>
      <c r="C353" t="s">
        <v>133</v>
      </c>
    </row>
    <row r="354" spans="1:3" x14ac:dyDescent="0.25">
      <c r="A354" s="192" t="s">
        <v>755</v>
      </c>
      <c r="B354" t="s">
        <v>404</v>
      </c>
      <c r="C354" t="s">
        <v>133</v>
      </c>
    </row>
    <row r="355" spans="1:3" x14ac:dyDescent="0.25">
      <c r="A355" s="192" t="s">
        <v>756</v>
      </c>
      <c r="B355" t="s">
        <v>404</v>
      </c>
      <c r="C355" t="s">
        <v>133</v>
      </c>
    </row>
    <row r="356" spans="1:3" x14ac:dyDescent="0.25">
      <c r="A356" s="192" t="s">
        <v>757</v>
      </c>
      <c r="B356" t="s">
        <v>404</v>
      </c>
      <c r="C356" t="s">
        <v>133</v>
      </c>
    </row>
    <row r="357" spans="1:3" x14ac:dyDescent="0.25">
      <c r="A357" s="192" t="s">
        <v>758</v>
      </c>
      <c r="B357" t="s">
        <v>404</v>
      </c>
      <c r="C357" t="s">
        <v>133</v>
      </c>
    </row>
    <row r="358" spans="1:3" x14ac:dyDescent="0.25">
      <c r="A358" s="192" t="s">
        <v>759</v>
      </c>
      <c r="B358" t="s">
        <v>404</v>
      </c>
      <c r="C358" t="s">
        <v>133</v>
      </c>
    </row>
    <row r="359" spans="1:3" x14ac:dyDescent="0.25">
      <c r="A359" s="192" t="s">
        <v>760</v>
      </c>
      <c r="B359" t="s">
        <v>404</v>
      </c>
      <c r="C359" t="s">
        <v>133</v>
      </c>
    </row>
    <row r="360" spans="1:3" x14ac:dyDescent="0.25">
      <c r="A360" s="192" t="s">
        <v>761</v>
      </c>
      <c r="B360" t="s">
        <v>404</v>
      </c>
      <c r="C360" t="s">
        <v>133</v>
      </c>
    </row>
    <row r="361" spans="1:3" x14ac:dyDescent="0.25">
      <c r="A361" s="192" t="s">
        <v>762</v>
      </c>
      <c r="B361" t="s">
        <v>404</v>
      </c>
      <c r="C361" t="s">
        <v>133</v>
      </c>
    </row>
    <row r="362" spans="1:3" x14ac:dyDescent="0.25">
      <c r="A362" s="192" t="s">
        <v>763</v>
      </c>
      <c r="B362" t="s">
        <v>404</v>
      </c>
      <c r="C362" t="s">
        <v>133</v>
      </c>
    </row>
    <row r="363" spans="1:3" x14ac:dyDescent="0.25">
      <c r="A363" s="192" t="s">
        <v>764</v>
      </c>
      <c r="B363" t="s">
        <v>404</v>
      </c>
      <c r="C363" t="s">
        <v>133</v>
      </c>
    </row>
    <row r="364" spans="1:3" x14ac:dyDescent="0.25">
      <c r="A364" s="192" t="s">
        <v>765</v>
      </c>
      <c r="B364" t="s">
        <v>404</v>
      </c>
      <c r="C364" t="s">
        <v>133</v>
      </c>
    </row>
    <row r="365" spans="1:3" x14ac:dyDescent="0.25">
      <c r="A365" s="192" t="s">
        <v>766</v>
      </c>
      <c r="B365" t="s">
        <v>404</v>
      </c>
      <c r="C365" t="s">
        <v>133</v>
      </c>
    </row>
    <row r="366" spans="1:3" x14ac:dyDescent="0.25">
      <c r="A366" s="192" t="s">
        <v>767</v>
      </c>
      <c r="B366" t="s">
        <v>404</v>
      </c>
      <c r="C366" t="s">
        <v>133</v>
      </c>
    </row>
    <row r="367" spans="1:3" x14ac:dyDescent="0.25">
      <c r="A367" s="192" t="s">
        <v>768</v>
      </c>
      <c r="B367" t="s">
        <v>404</v>
      </c>
      <c r="C367" t="s">
        <v>133</v>
      </c>
    </row>
    <row r="368" spans="1:3" x14ac:dyDescent="0.25">
      <c r="A368" s="192" t="s">
        <v>769</v>
      </c>
      <c r="B368" t="s">
        <v>404</v>
      </c>
      <c r="C368" t="s">
        <v>133</v>
      </c>
    </row>
    <row r="369" spans="1:3" x14ac:dyDescent="0.25">
      <c r="A369" s="192" t="s">
        <v>770</v>
      </c>
      <c r="B369" t="s">
        <v>404</v>
      </c>
      <c r="C369" t="s">
        <v>133</v>
      </c>
    </row>
    <row r="370" spans="1:3" x14ac:dyDescent="0.25">
      <c r="A370" s="192" t="s">
        <v>771</v>
      </c>
      <c r="B370" t="s">
        <v>404</v>
      </c>
      <c r="C370" t="s">
        <v>133</v>
      </c>
    </row>
    <row r="371" spans="1:3" x14ac:dyDescent="0.25">
      <c r="A371" s="192" t="s">
        <v>772</v>
      </c>
      <c r="B371" t="s">
        <v>404</v>
      </c>
      <c r="C371" t="s">
        <v>133</v>
      </c>
    </row>
    <row r="372" spans="1:3" x14ac:dyDescent="0.25">
      <c r="A372" s="192" t="s">
        <v>773</v>
      </c>
      <c r="B372" t="s">
        <v>404</v>
      </c>
      <c r="C372" t="s">
        <v>133</v>
      </c>
    </row>
    <row r="373" spans="1:3" x14ac:dyDescent="0.25">
      <c r="A373" s="192" t="s">
        <v>774</v>
      </c>
      <c r="B373" t="s">
        <v>404</v>
      </c>
      <c r="C373" t="s">
        <v>133</v>
      </c>
    </row>
    <row r="374" spans="1:3" x14ac:dyDescent="0.25">
      <c r="A374" s="192" t="s">
        <v>775</v>
      </c>
      <c r="B374" t="s">
        <v>404</v>
      </c>
      <c r="C374" t="s">
        <v>133</v>
      </c>
    </row>
    <row r="375" spans="1:3" x14ac:dyDescent="0.25">
      <c r="A375" s="192" t="s">
        <v>776</v>
      </c>
      <c r="B375" t="s">
        <v>404</v>
      </c>
      <c r="C375" t="s">
        <v>133</v>
      </c>
    </row>
    <row r="376" spans="1:3" x14ac:dyDescent="0.25">
      <c r="A376" s="192" t="s">
        <v>777</v>
      </c>
      <c r="B376" t="s">
        <v>404</v>
      </c>
      <c r="C376" t="s">
        <v>133</v>
      </c>
    </row>
    <row r="377" spans="1:3" x14ac:dyDescent="0.25">
      <c r="A377" s="192" t="s">
        <v>778</v>
      </c>
      <c r="B377" t="s">
        <v>404</v>
      </c>
      <c r="C377" t="s">
        <v>133</v>
      </c>
    </row>
    <row r="378" spans="1:3" x14ac:dyDescent="0.25">
      <c r="A378" s="192" t="s">
        <v>779</v>
      </c>
      <c r="B378" t="s">
        <v>404</v>
      </c>
      <c r="C378" t="s">
        <v>133</v>
      </c>
    </row>
    <row r="379" spans="1:3" x14ac:dyDescent="0.25">
      <c r="A379" s="192" t="s">
        <v>780</v>
      </c>
      <c r="B379" t="s">
        <v>404</v>
      </c>
      <c r="C379" t="s">
        <v>133</v>
      </c>
    </row>
    <row r="380" spans="1:3" x14ac:dyDescent="0.25">
      <c r="A380" s="192" t="s">
        <v>781</v>
      </c>
      <c r="B380" t="s">
        <v>404</v>
      </c>
      <c r="C380" t="s">
        <v>133</v>
      </c>
    </row>
    <row r="381" spans="1:3" x14ac:dyDescent="0.25">
      <c r="A381" s="192" t="s">
        <v>782</v>
      </c>
      <c r="B381" t="s">
        <v>404</v>
      </c>
      <c r="C381" t="s">
        <v>133</v>
      </c>
    </row>
    <row r="382" spans="1:3" x14ac:dyDescent="0.25">
      <c r="A382" s="192" t="s">
        <v>783</v>
      </c>
      <c r="B382" t="s">
        <v>404</v>
      </c>
      <c r="C382" t="s">
        <v>133</v>
      </c>
    </row>
    <row r="383" spans="1:3" x14ac:dyDescent="0.25">
      <c r="A383" s="192" t="s">
        <v>784</v>
      </c>
      <c r="B383" t="s">
        <v>404</v>
      </c>
      <c r="C383" t="s">
        <v>133</v>
      </c>
    </row>
    <row r="384" spans="1:3" x14ac:dyDescent="0.25">
      <c r="A384" s="192" t="s">
        <v>785</v>
      </c>
      <c r="B384" t="s">
        <v>404</v>
      </c>
      <c r="C384" t="s">
        <v>133</v>
      </c>
    </row>
    <row r="385" spans="1:3" x14ac:dyDescent="0.25">
      <c r="A385" s="192" t="s">
        <v>786</v>
      </c>
      <c r="B385" t="s">
        <v>404</v>
      </c>
      <c r="C385" t="s">
        <v>133</v>
      </c>
    </row>
    <row r="386" spans="1:3" x14ac:dyDescent="0.25">
      <c r="A386" s="192" t="s">
        <v>787</v>
      </c>
      <c r="B386" t="s">
        <v>404</v>
      </c>
      <c r="C386" t="s">
        <v>133</v>
      </c>
    </row>
    <row r="387" spans="1:3" x14ac:dyDescent="0.25">
      <c r="A387" s="192" t="s">
        <v>788</v>
      </c>
      <c r="B387" t="s">
        <v>404</v>
      </c>
      <c r="C387" t="s">
        <v>133</v>
      </c>
    </row>
    <row r="388" spans="1:3" x14ac:dyDescent="0.25">
      <c r="A388" s="192" t="s">
        <v>789</v>
      </c>
      <c r="B388" t="s">
        <v>404</v>
      </c>
      <c r="C388" t="s">
        <v>133</v>
      </c>
    </row>
    <row r="389" spans="1:3" x14ac:dyDescent="0.25">
      <c r="A389" s="192" t="s">
        <v>790</v>
      </c>
      <c r="B389" t="s">
        <v>404</v>
      </c>
      <c r="C389" t="s">
        <v>133</v>
      </c>
    </row>
    <row r="390" spans="1:3" x14ac:dyDescent="0.25">
      <c r="A390" s="192" t="s">
        <v>791</v>
      </c>
      <c r="B390" t="s">
        <v>404</v>
      </c>
      <c r="C390" t="s">
        <v>133</v>
      </c>
    </row>
    <row r="391" spans="1:3" x14ac:dyDescent="0.25">
      <c r="A391" s="192" t="s">
        <v>792</v>
      </c>
      <c r="B391" t="s">
        <v>404</v>
      </c>
      <c r="C391" t="s">
        <v>133</v>
      </c>
    </row>
    <row r="392" spans="1:3" x14ac:dyDescent="0.25">
      <c r="A392" s="192" t="s">
        <v>793</v>
      </c>
      <c r="B392" t="s">
        <v>404</v>
      </c>
      <c r="C392" t="s">
        <v>133</v>
      </c>
    </row>
    <row r="393" spans="1:3" x14ac:dyDescent="0.25">
      <c r="A393" s="192" t="s">
        <v>794</v>
      </c>
      <c r="B393" t="s">
        <v>404</v>
      </c>
      <c r="C393" t="s">
        <v>133</v>
      </c>
    </row>
    <row r="394" spans="1:3" x14ac:dyDescent="0.25">
      <c r="A394" s="192" t="s">
        <v>795</v>
      </c>
      <c r="B394" t="s">
        <v>404</v>
      </c>
      <c r="C394" t="s">
        <v>133</v>
      </c>
    </row>
    <row r="395" spans="1:3" x14ac:dyDescent="0.25">
      <c r="A395" s="192" t="s">
        <v>796</v>
      </c>
      <c r="B395" t="s">
        <v>404</v>
      </c>
      <c r="C395" t="s">
        <v>133</v>
      </c>
    </row>
    <row r="396" spans="1:3" x14ac:dyDescent="0.25">
      <c r="A396" s="192" t="s">
        <v>797</v>
      </c>
      <c r="B396" t="s">
        <v>404</v>
      </c>
      <c r="C396" t="s">
        <v>133</v>
      </c>
    </row>
    <row r="397" spans="1:3" x14ac:dyDescent="0.25">
      <c r="A397" s="192" t="s">
        <v>798</v>
      </c>
      <c r="B397" t="s">
        <v>404</v>
      </c>
      <c r="C397" t="s">
        <v>133</v>
      </c>
    </row>
    <row r="398" spans="1:3" x14ac:dyDescent="0.25">
      <c r="A398" s="192" t="s">
        <v>799</v>
      </c>
      <c r="B398" t="s">
        <v>404</v>
      </c>
      <c r="C398" t="s">
        <v>133</v>
      </c>
    </row>
    <row r="399" spans="1:3" x14ac:dyDescent="0.25">
      <c r="A399" s="192" t="s">
        <v>800</v>
      </c>
      <c r="B399" t="s">
        <v>404</v>
      </c>
      <c r="C399" t="s">
        <v>133</v>
      </c>
    </row>
    <row r="400" spans="1:3" x14ac:dyDescent="0.25">
      <c r="A400" s="192" t="s">
        <v>801</v>
      </c>
      <c r="B400" t="s">
        <v>404</v>
      </c>
      <c r="C400" t="s">
        <v>133</v>
      </c>
    </row>
    <row r="401" spans="1:3" x14ac:dyDescent="0.25">
      <c r="A401" s="192" t="s">
        <v>802</v>
      </c>
      <c r="B401" t="s">
        <v>404</v>
      </c>
      <c r="C401" t="s">
        <v>133</v>
      </c>
    </row>
    <row r="402" spans="1:3" x14ac:dyDescent="0.25">
      <c r="A402" s="192" t="s">
        <v>803</v>
      </c>
      <c r="B402" t="s">
        <v>404</v>
      </c>
      <c r="C402" t="s">
        <v>133</v>
      </c>
    </row>
    <row r="403" spans="1:3" x14ac:dyDescent="0.25">
      <c r="A403" s="192" t="s">
        <v>804</v>
      </c>
      <c r="B403" t="s">
        <v>404</v>
      </c>
      <c r="C403" t="s">
        <v>133</v>
      </c>
    </row>
    <row r="404" spans="1:3" x14ac:dyDescent="0.25">
      <c r="A404" s="192" t="s">
        <v>805</v>
      </c>
      <c r="B404" t="s">
        <v>404</v>
      </c>
      <c r="C404" t="s">
        <v>133</v>
      </c>
    </row>
    <row r="405" spans="1:3" x14ac:dyDescent="0.25">
      <c r="A405" s="192" t="s">
        <v>806</v>
      </c>
      <c r="B405" t="s">
        <v>404</v>
      </c>
      <c r="C405" t="s">
        <v>133</v>
      </c>
    </row>
    <row r="406" spans="1:3" x14ac:dyDescent="0.25">
      <c r="A406" s="192" t="s">
        <v>807</v>
      </c>
      <c r="B406" t="s">
        <v>404</v>
      </c>
      <c r="C406" t="s">
        <v>133</v>
      </c>
    </row>
    <row r="407" spans="1:3" x14ac:dyDescent="0.25">
      <c r="A407" s="192" t="s">
        <v>808</v>
      </c>
      <c r="B407" t="s">
        <v>404</v>
      </c>
      <c r="C407" t="s">
        <v>133</v>
      </c>
    </row>
    <row r="408" spans="1:3" x14ac:dyDescent="0.25">
      <c r="A408" s="192" t="s">
        <v>809</v>
      </c>
      <c r="B408" t="s">
        <v>404</v>
      </c>
      <c r="C408" t="s">
        <v>133</v>
      </c>
    </row>
    <row r="409" spans="1:3" x14ac:dyDescent="0.25">
      <c r="A409" s="192" t="s">
        <v>810</v>
      </c>
      <c r="B409" t="s">
        <v>404</v>
      </c>
      <c r="C409" t="s">
        <v>133</v>
      </c>
    </row>
    <row r="410" spans="1:3" x14ac:dyDescent="0.25">
      <c r="A410" s="192" t="s">
        <v>811</v>
      </c>
      <c r="B410" t="s">
        <v>404</v>
      </c>
      <c r="C410" t="s">
        <v>133</v>
      </c>
    </row>
    <row r="411" spans="1:3" x14ac:dyDescent="0.25">
      <c r="A411" s="192" t="s">
        <v>812</v>
      </c>
      <c r="B411" t="s">
        <v>404</v>
      </c>
      <c r="C411" t="s">
        <v>133</v>
      </c>
    </row>
    <row r="412" spans="1:3" x14ac:dyDescent="0.25">
      <c r="A412" s="192" t="s">
        <v>813</v>
      </c>
      <c r="B412" t="s">
        <v>404</v>
      </c>
      <c r="C412" t="s">
        <v>133</v>
      </c>
    </row>
    <row r="413" spans="1:3" x14ac:dyDescent="0.25">
      <c r="A413" s="192" t="s">
        <v>814</v>
      </c>
      <c r="B413" t="s">
        <v>404</v>
      </c>
      <c r="C413" t="s">
        <v>133</v>
      </c>
    </row>
    <row r="414" spans="1:3" x14ac:dyDescent="0.25">
      <c r="A414" s="192" t="s">
        <v>815</v>
      </c>
      <c r="B414" t="s">
        <v>404</v>
      </c>
      <c r="C414" t="s">
        <v>133</v>
      </c>
    </row>
    <row r="415" spans="1:3" x14ac:dyDescent="0.25">
      <c r="A415" s="192" t="s">
        <v>816</v>
      </c>
      <c r="B415" t="s">
        <v>404</v>
      </c>
      <c r="C415" t="s">
        <v>133</v>
      </c>
    </row>
    <row r="416" spans="1:3" x14ac:dyDescent="0.25">
      <c r="A416" s="192" t="s">
        <v>817</v>
      </c>
      <c r="B416" t="s">
        <v>404</v>
      </c>
      <c r="C416" t="s">
        <v>133</v>
      </c>
    </row>
    <row r="417" spans="1:3" x14ac:dyDescent="0.25">
      <c r="A417" s="192" t="s">
        <v>818</v>
      </c>
      <c r="B417" t="s">
        <v>404</v>
      </c>
      <c r="C417" t="s">
        <v>133</v>
      </c>
    </row>
    <row r="418" spans="1:3" x14ac:dyDescent="0.25">
      <c r="A418" s="192" t="s">
        <v>819</v>
      </c>
      <c r="B418" t="s">
        <v>404</v>
      </c>
      <c r="C418" t="s">
        <v>133</v>
      </c>
    </row>
    <row r="419" spans="1:3" x14ac:dyDescent="0.25">
      <c r="A419" s="192" t="s">
        <v>820</v>
      </c>
      <c r="B419" t="s">
        <v>404</v>
      </c>
      <c r="C419" t="s">
        <v>133</v>
      </c>
    </row>
    <row r="420" spans="1:3" x14ac:dyDescent="0.25">
      <c r="A420" s="192" t="s">
        <v>821</v>
      </c>
      <c r="B420" t="s">
        <v>404</v>
      </c>
      <c r="C420" t="s">
        <v>133</v>
      </c>
    </row>
    <row r="421" spans="1:3" x14ac:dyDescent="0.25">
      <c r="A421" s="192" t="s">
        <v>822</v>
      </c>
      <c r="B421" t="s">
        <v>404</v>
      </c>
      <c r="C421" t="s">
        <v>133</v>
      </c>
    </row>
    <row r="422" spans="1:3" x14ac:dyDescent="0.25">
      <c r="A422" s="192" t="s">
        <v>823</v>
      </c>
      <c r="B422" t="s">
        <v>404</v>
      </c>
      <c r="C422" t="s">
        <v>133</v>
      </c>
    </row>
    <row r="423" spans="1:3" x14ac:dyDescent="0.25">
      <c r="A423" s="192" t="s">
        <v>824</v>
      </c>
      <c r="B423" t="s">
        <v>404</v>
      </c>
      <c r="C423" t="s">
        <v>133</v>
      </c>
    </row>
    <row r="424" spans="1:3" x14ac:dyDescent="0.25">
      <c r="A424" s="192" t="s">
        <v>825</v>
      </c>
      <c r="B424" t="s">
        <v>404</v>
      </c>
      <c r="C424" t="s">
        <v>133</v>
      </c>
    </row>
    <row r="425" spans="1:3" x14ac:dyDescent="0.25">
      <c r="A425" s="192" t="s">
        <v>826</v>
      </c>
      <c r="B425" t="s">
        <v>404</v>
      </c>
      <c r="C425" t="s">
        <v>133</v>
      </c>
    </row>
    <row r="426" spans="1:3" x14ac:dyDescent="0.25">
      <c r="A426" s="192" t="s">
        <v>827</v>
      </c>
      <c r="B426" t="s">
        <v>404</v>
      </c>
      <c r="C426" t="s">
        <v>133</v>
      </c>
    </row>
    <row r="427" spans="1:3" x14ac:dyDescent="0.25">
      <c r="A427" s="192" t="s">
        <v>828</v>
      </c>
      <c r="B427" t="s">
        <v>404</v>
      </c>
      <c r="C427" t="s">
        <v>133</v>
      </c>
    </row>
    <row r="428" spans="1:3" x14ac:dyDescent="0.25">
      <c r="A428" s="192" t="s">
        <v>829</v>
      </c>
      <c r="B428" t="s">
        <v>404</v>
      </c>
      <c r="C428" t="s">
        <v>133</v>
      </c>
    </row>
    <row r="429" spans="1:3" x14ac:dyDescent="0.25">
      <c r="A429" s="192" t="s">
        <v>830</v>
      </c>
      <c r="B429" t="s">
        <v>404</v>
      </c>
      <c r="C429" t="s">
        <v>133</v>
      </c>
    </row>
    <row r="430" spans="1:3" x14ac:dyDescent="0.25">
      <c r="A430" s="192" t="s">
        <v>831</v>
      </c>
      <c r="B430" t="s">
        <v>404</v>
      </c>
      <c r="C430" t="s">
        <v>133</v>
      </c>
    </row>
    <row r="431" spans="1:3" x14ac:dyDescent="0.25">
      <c r="A431" s="192" t="s">
        <v>832</v>
      </c>
      <c r="B431" t="s">
        <v>404</v>
      </c>
      <c r="C431" t="s">
        <v>133</v>
      </c>
    </row>
    <row r="432" spans="1:3" x14ac:dyDescent="0.25">
      <c r="A432" s="192" t="s">
        <v>833</v>
      </c>
      <c r="B432" t="s">
        <v>404</v>
      </c>
      <c r="C432" t="s">
        <v>133</v>
      </c>
    </row>
    <row r="433" spans="1:3" x14ac:dyDescent="0.25">
      <c r="A433" s="192" t="s">
        <v>834</v>
      </c>
      <c r="B433" t="s">
        <v>404</v>
      </c>
      <c r="C433" t="s">
        <v>133</v>
      </c>
    </row>
    <row r="434" spans="1:3" x14ac:dyDescent="0.25">
      <c r="A434" s="192" t="s">
        <v>835</v>
      </c>
      <c r="B434" t="s">
        <v>404</v>
      </c>
      <c r="C434" t="s">
        <v>133</v>
      </c>
    </row>
    <row r="435" spans="1:3" x14ac:dyDescent="0.25">
      <c r="A435" s="192" t="s">
        <v>836</v>
      </c>
      <c r="B435" t="s">
        <v>404</v>
      </c>
      <c r="C435" t="s">
        <v>133</v>
      </c>
    </row>
    <row r="436" spans="1:3" x14ac:dyDescent="0.25">
      <c r="A436" s="192" t="s">
        <v>837</v>
      </c>
      <c r="B436" t="s">
        <v>404</v>
      </c>
      <c r="C436" t="s">
        <v>133</v>
      </c>
    </row>
    <row r="437" spans="1:3" x14ac:dyDescent="0.25">
      <c r="A437" s="192" t="s">
        <v>838</v>
      </c>
      <c r="B437" t="s">
        <v>404</v>
      </c>
      <c r="C437" t="s">
        <v>133</v>
      </c>
    </row>
    <row r="438" spans="1:3" x14ac:dyDescent="0.25">
      <c r="A438" s="192" t="s">
        <v>839</v>
      </c>
      <c r="B438" t="s">
        <v>404</v>
      </c>
      <c r="C438" t="s">
        <v>133</v>
      </c>
    </row>
    <row r="439" spans="1:3" x14ac:dyDescent="0.25">
      <c r="A439" s="192" t="s">
        <v>840</v>
      </c>
      <c r="B439" t="s">
        <v>404</v>
      </c>
      <c r="C439" t="s">
        <v>133</v>
      </c>
    </row>
    <row r="440" spans="1:3" x14ac:dyDescent="0.25">
      <c r="A440" s="192" t="s">
        <v>841</v>
      </c>
      <c r="B440" t="s">
        <v>404</v>
      </c>
      <c r="C440" t="s">
        <v>133</v>
      </c>
    </row>
    <row r="441" spans="1:3" x14ac:dyDescent="0.25">
      <c r="A441" s="192" t="s">
        <v>842</v>
      </c>
      <c r="B441" t="s">
        <v>404</v>
      </c>
      <c r="C441" t="s">
        <v>133</v>
      </c>
    </row>
    <row r="442" spans="1:3" x14ac:dyDescent="0.25">
      <c r="A442" s="192" t="s">
        <v>843</v>
      </c>
      <c r="B442" t="s">
        <v>404</v>
      </c>
      <c r="C442" t="s">
        <v>133</v>
      </c>
    </row>
    <row r="443" spans="1:3" x14ac:dyDescent="0.25">
      <c r="A443" s="192" t="s">
        <v>844</v>
      </c>
      <c r="B443" t="s">
        <v>404</v>
      </c>
      <c r="C443" t="s">
        <v>133</v>
      </c>
    </row>
    <row r="444" spans="1:3" x14ac:dyDescent="0.25">
      <c r="A444" s="192" t="s">
        <v>845</v>
      </c>
      <c r="B444" t="s">
        <v>404</v>
      </c>
      <c r="C444" t="s">
        <v>133</v>
      </c>
    </row>
    <row r="445" spans="1:3" x14ac:dyDescent="0.25">
      <c r="A445" s="192" t="s">
        <v>846</v>
      </c>
      <c r="B445" t="s">
        <v>404</v>
      </c>
      <c r="C445" t="s">
        <v>133</v>
      </c>
    </row>
    <row r="446" spans="1:3" x14ac:dyDescent="0.25">
      <c r="A446" s="192" t="s">
        <v>847</v>
      </c>
      <c r="B446" t="s">
        <v>404</v>
      </c>
      <c r="C446" t="s">
        <v>133</v>
      </c>
    </row>
    <row r="447" spans="1:3" x14ac:dyDescent="0.25">
      <c r="A447" s="192" t="s">
        <v>848</v>
      </c>
      <c r="B447" t="s">
        <v>404</v>
      </c>
      <c r="C447" t="s">
        <v>133</v>
      </c>
    </row>
    <row r="448" spans="1:3" x14ac:dyDescent="0.25">
      <c r="A448" s="192" t="s">
        <v>849</v>
      </c>
      <c r="B448" t="s">
        <v>404</v>
      </c>
      <c r="C448" t="s">
        <v>133</v>
      </c>
    </row>
    <row r="449" spans="1:3" x14ac:dyDescent="0.25">
      <c r="A449" s="192" t="s">
        <v>850</v>
      </c>
      <c r="B449" t="s">
        <v>404</v>
      </c>
      <c r="C449" t="s">
        <v>133</v>
      </c>
    </row>
    <row r="450" spans="1:3" x14ac:dyDescent="0.25">
      <c r="A450" s="192" t="s">
        <v>851</v>
      </c>
      <c r="B450" t="s">
        <v>404</v>
      </c>
      <c r="C450" t="s">
        <v>133</v>
      </c>
    </row>
    <row r="451" spans="1:3" x14ac:dyDescent="0.25">
      <c r="A451" s="192" t="s">
        <v>852</v>
      </c>
      <c r="B451" t="s">
        <v>404</v>
      </c>
      <c r="C451" t="s">
        <v>133</v>
      </c>
    </row>
    <row r="452" spans="1:3" x14ac:dyDescent="0.25">
      <c r="A452" s="192" t="s">
        <v>853</v>
      </c>
      <c r="B452" t="s">
        <v>404</v>
      </c>
      <c r="C452" t="s">
        <v>133</v>
      </c>
    </row>
    <row r="453" spans="1:3" x14ac:dyDescent="0.25">
      <c r="A453" s="192" t="s">
        <v>854</v>
      </c>
      <c r="B453" t="s">
        <v>404</v>
      </c>
      <c r="C453" t="s">
        <v>133</v>
      </c>
    </row>
    <row r="454" spans="1:3" x14ac:dyDescent="0.25">
      <c r="A454" s="192" t="s">
        <v>855</v>
      </c>
      <c r="B454" t="s">
        <v>404</v>
      </c>
      <c r="C454" t="s">
        <v>133</v>
      </c>
    </row>
    <row r="455" spans="1:3" x14ac:dyDescent="0.25">
      <c r="A455" s="192" t="s">
        <v>856</v>
      </c>
      <c r="B455" t="s">
        <v>404</v>
      </c>
      <c r="C455" t="s">
        <v>133</v>
      </c>
    </row>
    <row r="456" spans="1:3" x14ac:dyDescent="0.25">
      <c r="A456" s="192" t="s">
        <v>857</v>
      </c>
      <c r="B456" t="s">
        <v>404</v>
      </c>
      <c r="C456" t="s">
        <v>133</v>
      </c>
    </row>
    <row r="457" spans="1:3" x14ac:dyDescent="0.25">
      <c r="A457" s="192" t="s">
        <v>858</v>
      </c>
      <c r="B457" t="s">
        <v>404</v>
      </c>
      <c r="C457" t="s">
        <v>133</v>
      </c>
    </row>
    <row r="458" spans="1:3" x14ac:dyDescent="0.25">
      <c r="A458" s="192" t="s">
        <v>859</v>
      </c>
      <c r="B458" t="s">
        <v>404</v>
      </c>
      <c r="C458" t="s">
        <v>133</v>
      </c>
    </row>
    <row r="459" spans="1:3" x14ac:dyDescent="0.25">
      <c r="A459" s="192" t="s">
        <v>860</v>
      </c>
      <c r="B459" t="s">
        <v>404</v>
      </c>
      <c r="C459" t="s">
        <v>133</v>
      </c>
    </row>
    <row r="460" spans="1:3" x14ac:dyDescent="0.25">
      <c r="A460" s="192" t="s">
        <v>861</v>
      </c>
      <c r="B460" t="s">
        <v>404</v>
      </c>
      <c r="C460" t="s">
        <v>133</v>
      </c>
    </row>
    <row r="461" spans="1:3" x14ac:dyDescent="0.25">
      <c r="A461" s="192" t="s">
        <v>862</v>
      </c>
      <c r="B461" t="s">
        <v>404</v>
      </c>
      <c r="C461" t="s">
        <v>133</v>
      </c>
    </row>
    <row r="462" spans="1:3" x14ac:dyDescent="0.25">
      <c r="A462" s="192" t="s">
        <v>863</v>
      </c>
      <c r="B462" t="s">
        <v>404</v>
      </c>
      <c r="C462" t="s">
        <v>133</v>
      </c>
    </row>
    <row r="463" spans="1:3" x14ac:dyDescent="0.25">
      <c r="A463" s="192" t="s">
        <v>864</v>
      </c>
      <c r="B463" t="s">
        <v>404</v>
      </c>
      <c r="C463" t="s">
        <v>133</v>
      </c>
    </row>
    <row r="464" spans="1:3" x14ac:dyDescent="0.25">
      <c r="A464" s="192" t="s">
        <v>865</v>
      </c>
      <c r="B464" t="s">
        <v>404</v>
      </c>
      <c r="C464" t="s">
        <v>133</v>
      </c>
    </row>
    <row r="465" spans="1:3" x14ac:dyDescent="0.25">
      <c r="A465" s="192" t="s">
        <v>866</v>
      </c>
      <c r="B465" t="s">
        <v>404</v>
      </c>
      <c r="C465" t="s">
        <v>133</v>
      </c>
    </row>
    <row r="466" spans="1:3" x14ac:dyDescent="0.25">
      <c r="A466" s="192" t="s">
        <v>867</v>
      </c>
      <c r="B466" t="s">
        <v>404</v>
      </c>
      <c r="C466" t="s">
        <v>133</v>
      </c>
    </row>
    <row r="467" spans="1:3" x14ac:dyDescent="0.25">
      <c r="A467" s="192" t="s">
        <v>868</v>
      </c>
      <c r="B467" t="s">
        <v>404</v>
      </c>
      <c r="C467" t="s">
        <v>133</v>
      </c>
    </row>
    <row r="468" spans="1:3" x14ac:dyDescent="0.25">
      <c r="A468" s="192" t="s">
        <v>869</v>
      </c>
      <c r="B468" t="s">
        <v>404</v>
      </c>
      <c r="C468" t="s">
        <v>133</v>
      </c>
    </row>
    <row r="469" spans="1:3" x14ac:dyDescent="0.25">
      <c r="A469" s="192" t="s">
        <v>870</v>
      </c>
      <c r="B469" t="s">
        <v>404</v>
      </c>
      <c r="C469" t="s">
        <v>133</v>
      </c>
    </row>
    <row r="470" spans="1:3" x14ac:dyDescent="0.25">
      <c r="A470" s="192" t="s">
        <v>871</v>
      </c>
      <c r="B470" t="s">
        <v>404</v>
      </c>
      <c r="C470" t="s">
        <v>133</v>
      </c>
    </row>
    <row r="471" spans="1:3" x14ac:dyDescent="0.25">
      <c r="A471" s="192" t="s">
        <v>872</v>
      </c>
      <c r="B471" t="s">
        <v>404</v>
      </c>
      <c r="C471" t="s">
        <v>133</v>
      </c>
    </row>
    <row r="472" spans="1:3" x14ac:dyDescent="0.25">
      <c r="A472" s="192" t="s">
        <v>873</v>
      </c>
      <c r="B472" t="s">
        <v>404</v>
      </c>
      <c r="C472" t="s">
        <v>133</v>
      </c>
    </row>
    <row r="473" spans="1:3" x14ac:dyDescent="0.25">
      <c r="A473" s="192" t="s">
        <v>874</v>
      </c>
      <c r="B473" t="s">
        <v>404</v>
      </c>
      <c r="C473" t="s">
        <v>133</v>
      </c>
    </row>
    <row r="474" spans="1:3" x14ac:dyDescent="0.25">
      <c r="A474" s="192" t="s">
        <v>875</v>
      </c>
      <c r="B474" t="s">
        <v>404</v>
      </c>
      <c r="C474" t="s">
        <v>133</v>
      </c>
    </row>
    <row r="475" spans="1:3" x14ac:dyDescent="0.25">
      <c r="A475" s="192" t="s">
        <v>876</v>
      </c>
      <c r="B475" t="s">
        <v>404</v>
      </c>
      <c r="C475" t="s">
        <v>133</v>
      </c>
    </row>
    <row r="476" spans="1:3" x14ac:dyDescent="0.25">
      <c r="A476" s="192" t="s">
        <v>877</v>
      </c>
      <c r="B476" t="s">
        <v>404</v>
      </c>
      <c r="C476" t="s">
        <v>133</v>
      </c>
    </row>
    <row r="477" spans="1:3" x14ac:dyDescent="0.25">
      <c r="A477" s="192" t="s">
        <v>878</v>
      </c>
      <c r="B477" t="s">
        <v>404</v>
      </c>
      <c r="C477" t="s">
        <v>133</v>
      </c>
    </row>
    <row r="478" spans="1:3" x14ac:dyDescent="0.25">
      <c r="A478" s="192" t="s">
        <v>879</v>
      </c>
      <c r="B478" t="s">
        <v>404</v>
      </c>
      <c r="C478" t="s">
        <v>133</v>
      </c>
    </row>
    <row r="479" spans="1:3" x14ac:dyDescent="0.25">
      <c r="A479" s="192" t="s">
        <v>880</v>
      </c>
      <c r="B479" t="s">
        <v>404</v>
      </c>
      <c r="C479" t="s">
        <v>133</v>
      </c>
    </row>
    <row r="480" spans="1:3" x14ac:dyDescent="0.25">
      <c r="A480" s="192" t="s">
        <v>881</v>
      </c>
      <c r="B480" t="s">
        <v>404</v>
      </c>
      <c r="C480" t="s">
        <v>133</v>
      </c>
    </row>
    <row r="481" spans="1:3" x14ac:dyDescent="0.25">
      <c r="A481" s="192" t="s">
        <v>882</v>
      </c>
      <c r="B481" t="s">
        <v>404</v>
      </c>
      <c r="C481" t="s">
        <v>133</v>
      </c>
    </row>
    <row r="482" spans="1:3" x14ac:dyDescent="0.25">
      <c r="A482" s="192" t="s">
        <v>883</v>
      </c>
      <c r="B482" t="s">
        <v>404</v>
      </c>
      <c r="C482" t="s">
        <v>133</v>
      </c>
    </row>
    <row r="483" spans="1:3" x14ac:dyDescent="0.25">
      <c r="A483" s="192" t="s">
        <v>884</v>
      </c>
      <c r="B483" t="s">
        <v>404</v>
      </c>
      <c r="C483" t="s">
        <v>133</v>
      </c>
    </row>
    <row r="484" spans="1:3" x14ac:dyDescent="0.25">
      <c r="A484" s="192" t="s">
        <v>885</v>
      </c>
      <c r="B484" t="s">
        <v>404</v>
      </c>
      <c r="C484" t="s">
        <v>133</v>
      </c>
    </row>
    <row r="485" spans="1:3" x14ac:dyDescent="0.25">
      <c r="A485" s="192" t="s">
        <v>886</v>
      </c>
      <c r="B485" t="s">
        <v>404</v>
      </c>
      <c r="C485" t="s">
        <v>133</v>
      </c>
    </row>
    <row r="486" spans="1:3" x14ac:dyDescent="0.25">
      <c r="A486" s="192" t="s">
        <v>887</v>
      </c>
      <c r="B486" t="s">
        <v>404</v>
      </c>
      <c r="C486" t="s">
        <v>133</v>
      </c>
    </row>
    <row r="487" spans="1:3" x14ac:dyDescent="0.25">
      <c r="A487" s="192" t="s">
        <v>888</v>
      </c>
      <c r="B487" t="s">
        <v>404</v>
      </c>
      <c r="C487" t="s">
        <v>133</v>
      </c>
    </row>
    <row r="488" spans="1:3" x14ac:dyDescent="0.25">
      <c r="A488" s="192" t="s">
        <v>889</v>
      </c>
      <c r="B488" t="s">
        <v>404</v>
      </c>
      <c r="C488" t="s">
        <v>133</v>
      </c>
    </row>
    <row r="489" spans="1:3" x14ac:dyDescent="0.25">
      <c r="A489" s="192" t="s">
        <v>890</v>
      </c>
      <c r="B489" t="s">
        <v>404</v>
      </c>
      <c r="C489" t="s">
        <v>133</v>
      </c>
    </row>
    <row r="490" spans="1:3" x14ac:dyDescent="0.25">
      <c r="A490" s="192" t="s">
        <v>891</v>
      </c>
      <c r="B490" t="s">
        <v>404</v>
      </c>
      <c r="C490" t="s">
        <v>133</v>
      </c>
    </row>
    <row r="491" spans="1:3" x14ac:dyDescent="0.25">
      <c r="A491" s="192" t="s">
        <v>892</v>
      </c>
      <c r="B491" t="s">
        <v>404</v>
      </c>
      <c r="C491" t="s">
        <v>133</v>
      </c>
    </row>
    <row r="492" spans="1:3" x14ac:dyDescent="0.25">
      <c r="A492" s="192" t="s">
        <v>893</v>
      </c>
      <c r="B492" t="s">
        <v>404</v>
      </c>
      <c r="C492" t="s">
        <v>133</v>
      </c>
    </row>
    <row r="493" spans="1:3" x14ac:dyDescent="0.25">
      <c r="A493" s="192" t="s">
        <v>894</v>
      </c>
      <c r="B493" t="s">
        <v>404</v>
      </c>
      <c r="C493" t="s">
        <v>133</v>
      </c>
    </row>
    <row r="494" spans="1:3" x14ac:dyDescent="0.25">
      <c r="A494" s="192" t="s">
        <v>895</v>
      </c>
      <c r="B494" t="s">
        <v>404</v>
      </c>
      <c r="C494" t="s">
        <v>133</v>
      </c>
    </row>
    <row r="495" spans="1:3" x14ac:dyDescent="0.25">
      <c r="A495" s="192" t="s">
        <v>896</v>
      </c>
      <c r="B495" t="s">
        <v>404</v>
      </c>
      <c r="C495" t="s">
        <v>133</v>
      </c>
    </row>
    <row r="496" spans="1:3" x14ac:dyDescent="0.25">
      <c r="A496" s="192" t="s">
        <v>897</v>
      </c>
      <c r="B496" t="s">
        <v>404</v>
      </c>
      <c r="C496" t="s">
        <v>133</v>
      </c>
    </row>
    <row r="497" spans="1:3" x14ac:dyDescent="0.25">
      <c r="A497" s="192" t="s">
        <v>898</v>
      </c>
      <c r="B497" t="s">
        <v>404</v>
      </c>
      <c r="C497" t="s">
        <v>133</v>
      </c>
    </row>
    <row r="498" spans="1:3" x14ac:dyDescent="0.25">
      <c r="A498" s="192" t="s">
        <v>899</v>
      </c>
      <c r="B498" t="s">
        <v>404</v>
      </c>
      <c r="C498" t="s">
        <v>133</v>
      </c>
    </row>
    <row r="499" spans="1:3" x14ac:dyDescent="0.25">
      <c r="A499" s="192" t="s">
        <v>900</v>
      </c>
      <c r="B499" t="s">
        <v>404</v>
      </c>
      <c r="C499" t="s">
        <v>133</v>
      </c>
    </row>
    <row r="500" spans="1:3" x14ac:dyDescent="0.25">
      <c r="A500" s="192" t="s">
        <v>901</v>
      </c>
      <c r="B500" t="s">
        <v>404</v>
      </c>
      <c r="C500" t="s">
        <v>133</v>
      </c>
    </row>
    <row r="501" spans="1:3" x14ac:dyDescent="0.25">
      <c r="A501" s="192" t="s">
        <v>902</v>
      </c>
      <c r="B501" t="s">
        <v>404</v>
      </c>
      <c r="C501" t="s">
        <v>133</v>
      </c>
    </row>
    <row r="502" spans="1:3" x14ac:dyDescent="0.25">
      <c r="A502" s="192" t="s">
        <v>903</v>
      </c>
      <c r="B502" t="s">
        <v>404</v>
      </c>
      <c r="C502" t="s">
        <v>133</v>
      </c>
    </row>
    <row r="503" spans="1:3" x14ac:dyDescent="0.25">
      <c r="A503" s="192" t="s">
        <v>904</v>
      </c>
      <c r="B503" t="s">
        <v>404</v>
      </c>
      <c r="C503" t="s">
        <v>133</v>
      </c>
    </row>
    <row r="504" spans="1:3" x14ac:dyDescent="0.25">
      <c r="A504" s="192" t="s">
        <v>905</v>
      </c>
      <c r="B504" t="s">
        <v>404</v>
      </c>
      <c r="C504" t="s">
        <v>133</v>
      </c>
    </row>
    <row r="505" spans="1:3" x14ac:dyDescent="0.25">
      <c r="A505" s="192" t="s">
        <v>906</v>
      </c>
      <c r="B505" t="s">
        <v>404</v>
      </c>
      <c r="C505" t="s">
        <v>133</v>
      </c>
    </row>
    <row r="506" spans="1:3" x14ac:dyDescent="0.25">
      <c r="A506" s="192" t="s">
        <v>907</v>
      </c>
      <c r="B506" t="s">
        <v>404</v>
      </c>
      <c r="C506" t="s">
        <v>133</v>
      </c>
    </row>
    <row r="507" spans="1:3" x14ac:dyDescent="0.25">
      <c r="A507" s="192" t="s">
        <v>908</v>
      </c>
      <c r="B507" t="s">
        <v>404</v>
      </c>
      <c r="C507" t="s">
        <v>133</v>
      </c>
    </row>
    <row r="508" spans="1:3" x14ac:dyDescent="0.25">
      <c r="A508" s="192" t="s">
        <v>909</v>
      </c>
      <c r="B508" t="s">
        <v>404</v>
      </c>
      <c r="C508" t="s">
        <v>133</v>
      </c>
    </row>
    <row r="509" spans="1:3" x14ac:dyDescent="0.25">
      <c r="A509" s="192" t="s">
        <v>910</v>
      </c>
      <c r="B509" t="s">
        <v>404</v>
      </c>
      <c r="C509" t="s">
        <v>133</v>
      </c>
    </row>
    <row r="510" spans="1:3" x14ac:dyDescent="0.25">
      <c r="A510" s="192" t="s">
        <v>911</v>
      </c>
      <c r="B510" t="s">
        <v>404</v>
      </c>
      <c r="C510" t="s">
        <v>133</v>
      </c>
    </row>
    <row r="511" spans="1:3" x14ac:dyDescent="0.25">
      <c r="A511" s="192" t="s">
        <v>912</v>
      </c>
      <c r="B511" t="s">
        <v>404</v>
      </c>
      <c r="C511" t="s">
        <v>133</v>
      </c>
    </row>
    <row r="512" spans="1:3" x14ac:dyDescent="0.25">
      <c r="A512" s="192" t="s">
        <v>913</v>
      </c>
      <c r="B512" t="s">
        <v>404</v>
      </c>
      <c r="C512" t="s">
        <v>133</v>
      </c>
    </row>
    <row r="513" spans="1:3" x14ac:dyDescent="0.25">
      <c r="A513" s="192" t="s">
        <v>914</v>
      </c>
      <c r="B513" t="s">
        <v>404</v>
      </c>
      <c r="C513" t="s">
        <v>133</v>
      </c>
    </row>
    <row r="514" spans="1:3" x14ac:dyDescent="0.25">
      <c r="A514" s="192" t="s">
        <v>915</v>
      </c>
      <c r="B514" t="s">
        <v>404</v>
      </c>
      <c r="C514" t="s">
        <v>133</v>
      </c>
    </row>
    <row r="515" spans="1:3" x14ac:dyDescent="0.25">
      <c r="A515" s="192" t="s">
        <v>916</v>
      </c>
      <c r="B515" t="s">
        <v>404</v>
      </c>
      <c r="C515" t="s">
        <v>133</v>
      </c>
    </row>
    <row r="516" spans="1:3" x14ac:dyDescent="0.25">
      <c r="A516" s="192" t="s">
        <v>917</v>
      </c>
      <c r="B516" t="s">
        <v>404</v>
      </c>
      <c r="C516" t="s">
        <v>133</v>
      </c>
    </row>
    <row r="517" spans="1:3" x14ac:dyDescent="0.25">
      <c r="A517" s="192" t="s">
        <v>918</v>
      </c>
      <c r="B517" t="s">
        <v>404</v>
      </c>
      <c r="C517" t="s">
        <v>133</v>
      </c>
    </row>
    <row r="518" spans="1:3" x14ac:dyDescent="0.25">
      <c r="A518" s="192" t="s">
        <v>919</v>
      </c>
      <c r="B518" t="s">
        <v>404</v>
      </c>
      <c r="C518" t="s">
        <v>133</v>
      </c>
    </row>
    <row r="519" spans="1:3" x14ac:dyDescent="0.25">
      <c r="A519" s="192" t="s">
        <v>920</v>
      </c>
      <c r="B519" t="s">
        <v>404</v>
      </c>
      <c r="C519" t="s">
        <v>133</v>
      </c>
    </row>
    <row r="520" spans="1:3" x14ac:dyDescent="0.25">
      <c r="A520" s="192" t="s">
        <v>921</v>
      </c>
      <c r="B520" t="s">
        <v>404</v>
      </c>
      <c r="C520" t="s">
        <v>133</v>
      </c>
    </row>
    <row r="521" spans="1:3" x14ac:dyDescent="0.25">
      <c r="A521" s="192" t="s">
        <v>922</v>
      </c>
      <c r="B521" t="s">
        <v>404</v>
      </c>
      <c r="C521" t="s">
        <v>133</v>
      </c>
    </row>
    <row r="522" spans="1:3" x14ac:dyDescent="0.25">
      <c r="A522" s="192" t="s">
        <v>923</v>
      </c>
      <c r="B522" t="s">
        <v>404</v>
      </c>
      <c r="C522" t="s">
        <v>133</v>
      </c>
    </row>
    <row r="523" spans="1:3" x14ac:dyDescent="0.25">
      <c r="A523" s="192" t="s">
        <v>924</v>
      </c>
      <c r="B523" t="s">
        <v>404</v>
      </c>
      <c r="C523" t="s">
        <v>133</v>
      </c>
    </row>
    <row r="524" spans="1:3" x14ac:dyDescent="0.25">
      <c r="A524" s="192" t="s">
        <v>925</v>
      </c>
      <c r="B524" t="s">
        <v>404</v>
      </c>
      <c r="C524" t="s">
        <v>133</v>
      </c>
    </row>
    <row r="525" spans="1:3" x14ac:dyDescent="0.25">
      <c r="A525" s="192" t="s">
        <v>926</v>
      </c>
      <c r="B525" t="s">
        <v>404</v>
      </c>
      <c r="C525" t="s">
        <v>133</v>
      </c>
    </row>
    <row r="526" spans="1:3" x14ac:dyDescent="0.25">
      <c r="A526" s="192" t="s">
        <v>927</v>
      </c>
      <c r="B526" t="s">
        <v>404</v>
      </c>
      <c r="C526" t="s">
        <v>133</v>
      </c>
    </row>
    <row r="527" spans="1:3" x14ac:dyDescent="0.25">
      <c r="A527" s="192" t="s">
        <v>928</v>
      </c>
      <c r="B527" t="s">
        <v>404</v>
      </c>
      <c r="C527" t="s">
        <v>133</v>
      </c>
    </row>
    <row r="528" spans="1:3" x14ac:dyDescent="0.25">
      <c r="A528" s="192" t="s">
        <v>929</v>
      </c>
      <c r="B528" t="s">
        <v>404</v>
      </c>
      <c r="C528" t="s">
        <v>133</v>
      </c>
    </row>
    <row r="529" spans="1:3" x14ac:dyDescent="0.25">
      <c r="A529" s="192" t="s">
        <v>930</v>
      </c>
      <c r="B529" t="s">
        <v>404</v>
      </c>
      <c r="C529" t="s">
        <v>133</v>
      </c>
    </row>
    <row r="530" spans="1:3" x14ac:dyDescent="0.25">
      <c r="A530" s="192" t="s">
        <v>931</v>
      </c>
      <c r="B530" t="s">
        <v>404</v>
      </c>
      <c r="C530" t="s">
        <v>133</v>
      </c>
    </row>
    <row r="531" spans="1:3" x14ac:dyDescent="0.25">
      <c r="A531" s="192" t="s">
        <v>932</v>
      </c>
      <c r="B531" t="s">
        <v>404</v>
      </c>
      <c r="C531" t="s">
        <v>133</v>
      </c>
    </row>
    <row r="532" spans="1:3" x14ac:dyDescent="0.25">
      <c r="A532" s="192" t="s">
        <v>933</v>
      </c>
      <c r="B532" t="s">
        <v>404</v>
      </c>
      <c r="C532" t="s">
        <v>133</v>
      </c>
    </row>
    <row r="533" spans="1:3" x14ac:dyDescent="0.25">
      <c r="A533" s="192" t="s">
        <v>934</v>
      </c>
      <c r="B533" t="s">
        <v>404</v>
      </c>
      <c r="C533" t="s">
        <v>133</v>
      </c>
    </row>
    <row r="534" spans="1:3" x14ac:dyDescent="0.25">
      <c r="A534" s="192" t="s">
        <v>935</v>
      </c>
      <c r="B534" t="s">
        <v>404</v>
      </c>
      <c r="C534" t="s">
        <v>133</v>
      </c>
    </row>
    <row r="535" spans="1:3" x14ac:dyDescent="0.25">
      <c r="A535" s="192" t="s">
        <v>936</v>
      </c>
      <c r="B535" t="s">
        <v>404</v>
      </c>
      <c r="C535" t="s">
        <v>133</v>
      </c>
    </row>
    <row r="536" spans="1:3" x14ac:dyDescent="0.25">
      <c r="A536" s="192" t="s">
        <v>937</v>
      </c>
      <c r="B536" t="s">
        <v>404</v>
      </c>
      <c r="C536" t="s">
        <v>133</v>
      </c>
    </row>
    <row r="537" spans="1:3" x14ac:dyDescent="0.25">
      <c r="A537" s="192" t="s">
        <v>938</v>
      </c>
      <c r="B537" t="s">
        <v>404</v>
      </c>
      <c r="C537" t="s">
        <v>133</v>
      </c>
    </row>
    <row r="538" spans="1:3" x14ac:dyDescent="0.25">
      <c r="A538" s="192" t="s">
        <v>939</v>
      </c>
      <c r="B538" t="s">
        <v>404</v>
      </c>
      <c r="C538" t="s">
        <v>133</v>
      </c>
    </row>
    <row r="539" spans="1:3" x14ac:dyDescent="0.25">
      <c r="A539" s="192" t="s">
        <v>940</v>
      </c>
      <c r="B539" t="s">
        <v>404</v>
      </c>
      <c r="C539" t="s">
        <v>133</v>
      </c>
    </row>
    <row r="540" spans="1:3" x14ac:dyDescent="0.25">
      <c r="A540" s="192" t="s">
        <v>941</v>
      </c>
      <c r="B540" t="s">
        <v>404</v>
      </c>
      <c r="C540" t="s">
        <v>133</v>
      </c>
    </row>
    <row r="541" spans="1:3" x14ac:dyDescent="0.25">
      <c r="A541" s="192" t="s">
        <v>942</v>
      </c>
      <c r="B541" t="s">
        <v>404</v>
      </c>
      <c r="C541" t="s">
        <v>133</v>
      </c>
    </row>
    <row r="542" spans="1:3" x14ac:dyDescent="0.25">
      <c r="A542" s="192" t="s">
        <v>943</v>
      </c>
      <c r="B542" t="s">
        <v>404</v>
      </c>
      <c r="C542" t="s">
        <v>133</v>
      </c>
    </row>
    <row r="543" spans="1:3" x14ac:dyDescent="0.25">
      <c r="A543" s="192" t="s">
        <v>944</v>
      </c>
      <c r="B543" t="s">
        <v>404</v>
      </c>
      <c r="C543" t="s">
        <v>133</v>
      </c>
    </row>
    <row r="544" spans="1:3" x14ac:dyDescent="0.25">
      <c r="A544" s="192" t="s">
        <v>945</v>
      </c>
      <c r="B544" t="s">
        <v>404</v>
      </c>
      <c r="C544" t="s">
        <v>133</v>
      </c>
    </row>
    <row r="545" spans="1:3" x14ac:dyDescent="0.25">
      <c r="A545" s="192" t="s">
        <v>946</v>
      </c>
      <c r="B545" t="s">
        <v>404</v>
      </c>
      <c r="C545" t="s">
        <v>133</v>
      </c>
    </row>
    <row r="546" spans="1:3" x14ac:dyDescent="0.25">
      <c r="A546" s="192" t="s">
        <v>947</v>
      </c>
      <c r="B546" t="s">
        <v>404</v>
      </c>
      <c r="C546" t="s">
        <v>133</v>
      </c>
    </row>
    <row r="547" spans="1:3" x14ac:dyDescent="0.25">
      <c r="A547" s="192" t="s">
        <v>948</v>
      </c>
      <c r="B547" t="s">
        <v>404</v>
      </c>
      <c r="C547" t="s">
        <v>133</v>
      </c>
    </row>
    <row r="548" spans="1:3" x14ac:dyDescent="0.25">
      <c r="A548" s="192" t="s">
        <v>949</v>
      </c>
      <c r="B548" t="s">
        <v>404</v>
      </c>
      <c r="C548" t="s">
        <v>133</v>
      </c>
    </row>
    <row r="549" spans="1:3" x14ac:dyDescent="0.25">
      <c r="A549" s="192" t="s">
        <v>950</v>
      </c>
      <c r="B549" t="s">
        <v>404</v>
      </c>
      <c r="C549" t="s">
        <v>133</v>
      </c>
    </row>
    <row r="550" spans="1:3" x14ac:dyDescent="0.25">
      <c r="A550" s="192" t="s">
        <v>951</v>
      </c>
      <c r="B550" t="s">
        <v>404</v>
      </c>
      <c r="C550" t="s">
        <v>133</v>
      </c>
    </row>
    <row r="551" spans="1:3" x14ac:dyDescent="0.25">
      <c r="A551" s="192" t="s">
        <v>952</v>
      </c>
      <c r="B551" t="s">
        <v>404</v>
      </c>
      <c r="C551" t="s">
        <v>133</v>
      </c>
    </row>
    <row r="552" spans="1:3" x14ac:dyDescent="0.25">
      <c r="A552" s="192" t="s">
        <v>953</v>
      </c>
      <c r="B552" t="s">
        <v>404</v>
      </c>
      <c r="C552" t="s">
        <v>133</v>
      </c>
    </row>
    <row r="553" spans="1:3" x14ac:dyDescent="0.25">
      <c r="A553" s="192" t="s">
        <v>954</v>
      </c>
      <c r="B553" t="s">
        <v>404</v>
      </c>
      <c r="C553" t="s">
        <v>133</v>
      </c>
    </row>
    <row r="554" spans="1:3" x14ac:dyDescent="0.25">
      <c r="A554" s="192" t="s">
        <v>955</v>
      </c>
      <c r="B554" t="s">
        <v>404</v>
      </c>
      <c r="C554" t="s">
        <v>133</v>
      </c>
    </row>
    <row r="555" spans="1:3" x14ac:dyDescent="0.25">
      <c r="A555" s="192" t="s">
        <v>956</v>
      </c>
      <c r="B555" t="s">
        <v>404</v>
      </c>
      <c r="C555" t="s">
        <v>133</v>
      </c>
    </row>
    <row r="556" spans="1:3" x14ac:dyDescent="0.25">
      <c r="A556" s="192" t="s">
        <v>957</v>
      </c>
      <c r="B556" t="s">
        <v>404</v>
      </c>
      <c r="C556" t="s">
        <v>133</v>
      </c>
    </row>
    <row r="557" spans="1:3" x14ac:dyDescent="0.25">
      <c r="A557" s="192" t="s">
        <v>958</v>
      </c>
      <c r="B557" t="s">
        <v>404</v>
      </c>
      <c r="C557" t="s">
        <v>133</v>
      </c>
    </row>
    <row r="558" spans="1:3" x14ac:dyDescent="0.25">
      <c r="A558" s="192" t="s">
        <v>959</v>
      </c>
      <c r="B558" t="s">
        <v>404</v>
      </c>
      <c r="C558" t="s">
        <v>133</v>
      </c>
    </row>
    <row r="559" spans="1:3" x14ac:dyDescent="0.25">
      <c r="A559" s="192" t="s">
        <v>960</v>
      </c>
      <c r="B559" t="s">
        <v>404</v>
      </c>
      <c r="C559" t="s">
        <v>133</v>
      </c>
    </row>
    <row r="560" spans="1:3" x14ac:dyDescent="0.25">
      <c r="A560" s="192" t="s">
        <v>961</v>
      </c>
      <c r="B560" t="s">
        <v>404</v>
      </c>
      <c r="C560" t="s">
        <v>133</v>
      </c>
    </row>
    <row r="561" spans="1:3" x14ac:dyDescent="0.25">
      <c r="A561" s="192" t="s">
        <v>962</v>
      </c>
      <c r="B561" t="s">
        <v>404</v>
      </c>
      <c r="C561" t="s">
        <v>133</v>
      </c>
    </row>
    <row r="562" spans="1:3" x14ac:dyDescent="0.25">
      <c r="A562" s="192" t="s">
        <v>963</v>
      </c>
      <c r="B562" t="s">
        <v>404</v>
      </c>
      <c r="C562" t="s">
        <v>133</v>
      </c>
    </row>
    <row r="563" spans="1:3" x14ac:dyDescent="0.25">
      <c r="A563" s="192" t="s">
        <v>964</v>
      </c>
      <c r="B563" t="s">
        <v>404</v>
      </c>
      <c r="C563" t="s">
        <v>133</v>
      </c>
    </row>
    <row r="564" spans="1:3" x14ac:dyDescent="0.25">
      <c r="A564" s="192" t="s">
        <v>965</v>
      </c>
      <c r="B564" t="s">
        <v>404</v>
      </c>
      <c r="C564" t="s">
        <v>133</v>
      </c>
    </row>
    <row r="565" spans="1:3" x14ac:dyDescent="0.25">
      <c r="A565" s="192" t="s">
        <v>966</v>
      </c>
      <c r="B565" t="s">
        <v>404</v>
      </c>
      <c r="C565" t="s">
        <v>133</v>
      </c>
    </row>
    <row r="566" spans="1:3" x14ac:dyDescent="0.25">
      <c r="A566" s="192" t="s">
        <v>967</v>
      </c>
      <c r="B566" t="s">
        <v>404</v>
      </c>
      <c r="C566" t="s">
        <v>133</v>
      </c>
    </row>
    <row r="567" spans="1:3" x14ac:dyDescent="0.25">
      <c r="A567" s="192" t="s">
        <v>968</v>
      </c>
      <c r="B567" t="s">
        <v>404</v>
      </c>
      <c r="C567" t="s">
        <v>133</v>
      </c>
    </row>
    <row r="568" spans="1:3" x14ac:dyDescent="0.25">
      <c r="A568" s="192" t="s">
        <v>969</v>
      </c>
      <c r="B568" t="s">
        <v>404</v>
      </c>
      <c r="C568" t="s">
        <v>133</v>
      </c>
    </row>
    <row r="569" spans="1:3" x14ac:dyDescent="0.25">
      <c r="A569" s="192" t="s">
        <v>970</v>
      </c>
      <c r="B569" t="s">
        <v>404</v>
      </c>
      <c r="C569" t="s">
        <v>133</v>
      </c>
    </row>
    <row r="570" spans="1:3" x14ac:dyDescent="0.25">
      <c r="A570" s="192" t="s">
        <v>971</v>
      </c>
      <c r="B570" t="s">
        <v>404</v>
      </c>
      <c r="C570" t="s">
        <v>133</v>
      </c>
    </row>
    <row r="571" spans="1:3" x14ac:dyDescent="0.25">
      <c r="A571" s="192" t="s">
        <v>972</v>
      </c>
      <c r="B571" t="s">
        <v>404</v>
      </c>
      <c r="C571" t="s">
        <v>133</v>
      </c>
    </row>
    <row r="572" spans="1:3" x14ac:dyDescent="0.25">
      <c r="A572" s="192" t="s">
        <v>973</v>
      </c>
      <c r="B572" t="s">
        <v>404</v>
      </c>
      <c r="C572" t="s">
        <v>133</v>
      </c>
    </row>
    <row r="573" spans="1:3" x14ac:dyDescent="0.25">
      <c r="A573" s="192" t="s">
        <v>974</v>
      </c>
      <c r="B573" t="s">
        <v>404</v>
      </c>
      <c r="C573" t="s">
        <v>133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"/>
  <sheetViews>
    <sheetView workbookViewId="0">
      <selection activeCell="A2" sqref="A2"/>
    </sheetView>
  </sheetViews>
  <sheetFormatPr defaultRowHeight="15" x14ac:dyDescent="0.25"/>
  <cols>
    <col min="1" max="1" width="12.5703125" customWidth="1"/>
    <col min="2" max="2" width="12.28515625" bestFit="1" customWidth="1"/>
    <col min="257" max="257" width="12.5703125" customWidth="1"/>
    <col min="258" max="258" width="12.28515625" bestFit="1" customWidth="1"/>
    <col min="513" max="513" width="12.5703125" customWidth="1"/>
    <col min="514" max="514" width="12.28515625" bestFit="1" customWidth="1"/>
    <col min="769" max="769" width="12.5703125" customWidth="1"/>
    <col min="770" max="770" width="12.28515625" bestFit="1" customWidth="1"/>
    <col min="1025" max="1025" width="12.5703125" customWidth="1"/>
    <col min="1026" max="1026" width="12.28515625" bestFit="1" customWidth="1"/>
    <col min="1281" max="1281" width="12.5703125" customWidth="1"/>
    <col min="1282" max="1282" width="12.28515625" bestFit="1" customWidth="1"/>
    <col min="1537" max="1537" width="12.5703125" customWidth="1"/>
    <col min="1538" max="1538" width="12.28515625" bestFit="1" customWidth="1"/>
    <col min="1793" max="1793" width="12.5703125" customWidth="1"/>
    <col min="1794" max="1794" width="12.28515625" bestFit="1" customWidth="1"/>
    <col min="2049" max="2049" width="12.5703125" customWidth="1"/>
    <col min="2050" max="2050" width="12.28515625" bestFit="1" customWidth="1"/>
    <col min="2305" max="2305" width="12.5703125" customWidth="1"/>
    <col min="2306" max="2306" width="12.28515625" bestFit="1" customWidth="1"/>
    <col min="2561" max="2561" width="12.5703125" customWidth="1"/>
    <col min="2562" max="2562" width="12.28515625" bestFit="1" customWidth="1"/>
    <col min="2817" max="2817" width="12.5703125" customWidth="1"/>
    <col min="2818" max="2818" width="12.28515625" bestFit="1" customWidth="1"/>
    <col min="3073" max="3073" width="12.5703125" customWidth="1"/>
    <col min="3074" max="3074" width="12.28515625" bestFit="1" customWidth="1"/>
    <col min="3329" max="3329" width="12.5703125" customWidth="1"/>
    <col min="3330" max="3330" width="12.28515625" bestFit="1" customWidth="1"/>
    <col min="3585" max="3585" width="12.5703125" customWidth="1"/>
    <col min="3586" max="3586" width="12.28515625" bestFit="1" customWidth="1"/>
    <col min="3841" max="3841" width="12.5703125" customWidth="1"/>
    <col min="3842" max="3842" width="12.28515625" bestFit="1" customWidth="1"/>
    <col min="4097" max="4097" width="12.5703125" customWidth="1"/>
    <col min="4098" max="4098" width="12.28515625" bestFit="1" customWidth="1"/>
    <col min="4353" max="4353" width="12.5703125" customWidth="1"/>
    <col min="4354" max="4354" width="12.28515625" bestFit="1" customWidth="1"/>
    <col min="4609" max="4609" width="12.5703125" customWidth="1"/>
    <col min="4610" max="4610" width="12.28515625" bestFit="1" customWidth="1"/>
    <col min="4865" max="4865" width="12.5703125" customWidth="1"/>
    <col min="4866" max="4866" width="12.28515625" bestFit="1" customWidth="1"/>
    <col min="5121" max="5121" width="12.5703125" customWidth="1"/>
    <col min="5122" max="5122" width="12.28515625" bestFit="1" customWidth="1"/>
    <col min="5377" max="5377" width="12.5703125" customWidth="1"/>
    <col min="5378" max="5378" width="12.28515625" bestFit="1" customWidth="1"/>
    <col min="5633" max="5633" width="12.5703125" customWidth="1"/>
    <col min="5634" max="5634" width="12.28515625" bestFit="1" customWidth="1"/>
    <col min="5889" max="5889" width="12.5703125" customWidth="1"/>
    <col min="5890" max="5890" width="12.28515625" bestFit="1" customWidth="1"/>
    <col min="6145" max="6145" width="12.5703125" customWidth="1"/>
    <col min="6146" max="6146" width="12.28515625" bestFit="1" customWidth="1"/>
    <col min="6401" max="6401" width="12.5703125" customWidth="1"/>
    <col min="6402" max="6402" width="12.28515625" bestFit="1" customWidth="1"/>
    <col min="6657" max="6657" width="12.5703125" customWidth="1"/>
    <col min="6658" max="6658" width="12.28515625" bestFit="1" customWidth="1"/>
    <col min="6913" max="6913" width="12.5703125" customWidth="1"/>
    <col min="6914" max="6914" width="12.28515625" bestFit="1" customWidth="1"/>
    <col min="7169" max="7169" width="12.5703125" customWidth="1"/>
    <col min="7170" max="7170" width="12.28515625" bestFit="1" customWidth="1"/>
    <col min="7425" max="7425" width="12.5703125" customWidth="1"/>
    <col min="7426" max="7426" width="12.28515625" bestFit="1" customWidth="1"/>
    <col min="7681" max="7681" width="12.5703125" customWidth="1"/>
    <col min="7682" max="7682" width="12.28515625" bestFit="1" customWidth="1"/>
    <col min="7937" max="7937" width="12.5703125" customWidth="1"/>
    <col min="7938" max="7938" width="12.28515625" bestFit="1" customWidth="1"/>
    <col min="8193" max="8193" width="12.5703125" customWidth="1"/>
    <col min="8194" max="8194" width="12.28515625" bestFit="1" customWidth="1"/>
    <col min="8449" max="8449" width="12.5703125" customWidth="1"/>
    <col min="8450" max="8450" width="12.28515625" bestFit="1" customWidth="1"/>
    <col min="8705" max="8705" width="12.5703125" customWidth="1"/>
    <col min="8706" max="8706" width="12.28515625" bestFit="1" customWidth="1"/>
    <col min="8961" max="8961" width="12.5703125" customWidth="1"/>
    <col min="8962" max="8962" width="12.28515625" bestFit="1" customWidth="1"/>
    <col min="9217" max="9217" width="12.5703125" customWidth="1"/>
    <col min="9218" max="9218" width="12.28515625" bestFit="1" customWidth="1"/>
    <col min="9473" max="9473" width="12.5703125" customWidth="1"/>
    <col min="9474" max="9474" width="12.28515625" bestFit="1" customWidth="1"/>
    <col min="9729" max="9729" width="12.5703125" customWidth="1"/>
    <col min="9730" max="9730" width="12.28515625" bestFit="1" customWidth="1"/>
    <col min="9985" max="9985" width="12.5703125" customWidth="1"/>
    <col min="9986" max="9986" width="12.28515625" bestFit="1" customWidth="1"/>
    <col min="10241" max="10241" width="12.5703125" customWidth="1"/>
    <col min="10242" max="10242" width="12.28515625" bestFit="1" customWidth="1"/>
    <col min="10497" max="10497" width="12.5703125" customWidth="1"/>
    <col min="10498" max="10498" width="12.28515625" bestFit="1" customWidth="1"/>
    <col min="10753" max="10753" width="12.5703125" customWidth="1"/>
    <col min="10754" max="10754" width="12.28515625" bestFit="1" customWidth="1"/>
    <col min="11009" max="11009" width="12.5703125" customWidth="1"/>
    <col min="11010" max="11010" width="12.28515625" bestFit="1" customWidth="1"/>
    <col min="11265" max="11265" width="12.5703125" customWidth="1"/>
    <col min="11266" max="11266" width="12.28515625" bestFit="1" customWidth="1"/>
    <col min="11521" max="11521" width="12.5703125" customWidth="1"/>
    <col min="11522" max="11522" width="12.28515625" bestFit="1" customWidth="1"/>
    <col min="11777" max="11777" width="12.5703125" customWidth="1"/>
    <col min="11778" max="11778" width="12.28515625" bestFit="1" customWidth="1"/>
    <col min="12033" max="12033" width="12.5703125" customWidth="1"/>
    <col min="12034" max="12034" width="12.28515625" bestFit="1" customWidth="1"/>
    <col min="12289" max="12289" width="12.5703125" customWidth="1"/>
    <col min="12290" max="12290" width="12.28515625" bestFit="1" customWidth="1"/>
    <col min="12545" max="12545" width="12.5703125" customWidth="1"/>
    <col min="12546" max="12546" width="12.28515625" bestFit="1" customWidth="1"/>
    <col min="12801" max="12801" width="12.5703125" customWidth="1"/>
    <col min="12802" max="12802" width="12.28515625" bestFit="1" customWidth="1"/>
    <col min="13057" max="13057" width="12.5703125" customWidth="1"/>
    <col min="13058" max="13058" width="12.28515625" bestFit="1" customWidth="1"/>
    <col min="13313" max="13313" width="12.5703125" customWidth="1"/>
    <col min="13314" max="13314" width="12.28515625" bestFit="1" customWidth="1"/>
    <col min="13569" max="13569" width="12.5703125" customWidth="1"/>
    <col min="13570" max="13570" width="12.28515625" bestFit="1" customWidth="1"/>
    <col min="13825" max="13825" width="12.5703125" customWidth="1"/>
    <col min="13826" max="13826" width="12.28515625" bestFit="1" customWidth="1"/>
    <col min="14081" max="14081" width="12.5703125" customWidth="1"/>
    <col min="14082" max="14082" width="12.28515625" bestFit="1" customWidth="1"/>
    <col min="14337" max="14337" width="12.5703125" customWidth="1"/>
    <col min="14338" max="14338" width="12.28515625" bestFit="1" customWidth="1"/>
    <col min="14593" max="14593" width="12.5703125" customWidth="1"/>
    <col min="14594" max="14594" width="12.28515625" bestFit="1" customWidth="1"/>
    <col min="14849" max="14849" width="12.5703125" customWidth="1"/>
    <col min="14850" max="14850" width="12.28515625" bestFit="1" customWidth="1"/>
    <col min="15105" max="15105" width="12.5703125" customWidth="1"/>
    <col min="15106" max="15106" width="12.28515625" bestFit="1" customWidth="1"/>
    <col min="15361" max="15361" width="12.5703125" customWidth="1"/>
    <col min="15362" max="15362" width="12.28515625" bestFit="1" customWidth="1"/>
    <col min="15617" max="15617" width="12.5703125" customWidth="1"/>
    <col min="15618" max="15618" width="12.28515625" bestFit="1" customWidth="1"/>
    <col min="15873" max="15873" width="12.5703125" customWidth="1"/>
    <col min="15874" max="15874" width="12.28515625" bestFit="1" customWidth="1"/>
    <col min="16129" max="16129" width="12.5703125" customWidth="1"/>
    <col min="16130" max="16130" width="12.28515625" bestFit="1" customWidth="1"/>
  </cols>
  <sheetData>
    <row r="1" spans="1:3" x14ac:dyDescent="0.25">
      <c r="A1" s="189" t="s">
        <v>0</v>
      </c>
      <c r="B1" s="190" t="s">
        <v>294</v>
      </c>
      <c r="C1" s="191" t="s">
        <v>77</v>
      </c>
    </row>
    <row r="2" spans="1:3" x14ac:dyDescent="0.25">
      <c r="A2" s="192" t="s">
        <v>975</v>
      </c>
      <c r="B2" t="s">
        <v>404</v>
      </c>
      <c r="C2" s="193" t="s">
        <v>998</v>
      </c>
    </row>
    <row r="3" spans="1:3" x14ac:dyDescent="0.25">
      <c r="A3" s="192" t="s">
        <v>976</v>
      </c>
      <c r="B3" t="s">
        <v>404</v>
      </c>
      <c r="C3" s="193" t="s">
        <v>999</v>
      </c>
    </row>
    <row r="4" spans="1:3" x14ac:dyDescent="0.25">
      <c r="A4" s="192" t="s">
        <v>977</v>
      </c>
      <c r="B4" t="s">
        <v>404</v>
      </c>
      <c r="C4" s="193" t="s">
        <v>1000</v>
      </c>
    </row>
    <row r="5" spans="1:3" x14ac:dyDescent="0.25">
      <c r="A5" s="192" t="s">
        <v>978</v>
      </c>
      <c r="B5" t="s">
        <v>404</v>
      </c>
      <c r="C5" s="193" t="s">
        <v>1001</v>
      </c>
    </row>
    <row r="6" spans="1:3" x14ac:dyDescent="0.25">
      <c r="A6" s="192" t="s">
        <v>979</v>
      </c>
      <c r="B6" t="s">
        <v>404</v>
      </c>
      <c r="C6" s="193" t="s">
        <v>1002</v>
      </c>
    </row>
    <row r="7" spans="1:3" x14ac:dyDescent="0.25">
      <c r="A7" s="192" t="s">
        <v>980</v>
      </c>
      <c r="B7" t="s">
        <v>404</v>
      </c>
      <c r="C7" s="193" t="s">
        <v>1003</v>
      </c>
    </row>
    <row r="8" spans="1:3" x14ac:dyDescent="0.25">
      <c r="A8" s="192" t="s">
        <v>981</v>
      </c>
      <c r="B8" t="s">
        <v>404</v>
      </c>
      <c r="C8" s="193" t="s">
        <v>1004</v>
      </c>
    </row>
    <row r="9" spans="1:3" x14ac:dyDescent="0.25">
      <c r="A9" s="192" t="s">
        <v>982</v>
      </c>
      <c r="B9" t="s">
        <v>404</v>
      </c>
      <c r="C9" s="193" t="s">
        <v>1005</v>
      </c>
    </row>
    <row r="10" spans="1:3" x14ac:dyDescent="0.25">
      <c r="A10" s="192" t="s">
        <v>983</v>
      </c>
      <c r="B10" t="s">
        <v>404</v>
      </c>
      <c r="C10" s="193" t="s">
        <v>1006</v>
      </c>
    </row>
    <row r="11" spans="1:3" x14ac:dyDescent="0.25">
      <c r="A11" s="192" t="s">
        <v>984</v>
      </c>
      <c r="B11" t="s">
        <v>404</v>
      </c>
      <c r="C11" s="193" t="s">
        <v>1007</v>
      </c>
    </row>
    <row r="12" spans="1:3" x14ac:dyDescent="0.25">
      <c r="A12" s="192" t="s">
        <v>985</v>
      </c>
      <c r="B12" t="s">
        <v>404</v>
      </c>
      <c r="C12" s="193" t="s">
        <v>1008</v>
      </c>
    </row>
    <row r="13" spans="1:3" x14ac:dyDescent="0.25">
      <c r="A13" s="192" t="s">
        <v>986</v>
      </c>
      <c r="B13" t="s">
        <v>404</v>
      </c>
      <c r="C13" s="193" t="s">
        <v>1009</v>
      </c>
    </row>
    <row r="14" spans="1:3" x14ac:dyDescent="0.25">
      <c r="A14" s="192" t="s">
        <v>987</v>
      </c>
      <c r="B14" t="s">
        <v>404</v>
      </c>
      <c r="C14" s="193" t="s">
        <v>1010</v>
      </c>
    </row>
    <row r="15" spans="1:3" x14ac:dyDescent="0.25">
      <c r="A15" s="192" t="s">
        <v>988</v>
      </c>
      <c r="B15" t="s">
        <v>404</v>
      </c>
      <c r="C15" s="193" t="s">
        <v>1011</v>
      </c>
    </row>
    <row r="16" spans="1:3" x14ac:dyDescent="0.25">
      <c r="A16" s="192" t="s">
        <v>989</v>
      </c>
      <c r="B16" t="s">
        <v>404</v>
      </c>
      <c r="C16" s="193" t="s">
        <v>1012</v>
      </c>
    </row>
    <row r="17" spans="1:3" x14ac:dyDescent="0.25">
      <c r="A17" s="192" t="s">
        <v>990</v>
      </c>
      <c r="B17" t="s">
        <v>404</v>
      </c>
      <c r="C17" s="193" t="s">
        <v>1013</v>
      </c>
    </row>
    <row r="18" spans="1:3" x14ac:dyDescent="0.25">
      <c r="A18" s="192" t="s">
        <v>991</v>
      </c>
      <c r="B18" t="s">
        <v>404</v>
      </c>
      <c r="C18" s="193" t="s">
        <v>1014</v>
      </c>
    </row>
    <row r="19" spans="1:3" x14ac:dyDescent="0.25">
      <c r="A19" s="192" t="s">
        <v>992</v>
      </c>
      <c r="B19" t="s">
        <v>404</v>
      </c>
      <c r="C19" s="193" t="s">
        <v>1015</v>
      </c>
    </row>
    <row r="20" spans="1:3" x14ac:dyDescent="0.25">
      <c r="A20" s="192" t="s">
        <v>993</v>
      </c>
      <c r="B20" t="s">
        <v>404</v>
      </c>
      <c r="C20" s="193" t="s">
        <v>1016</v>
      </c>
    </row>
    <row r="21" spans="1:3" x14ac:dyDescent="0.25">
      <c r="A21" s="192" t="s">
        <v>994</v>
      </c>
      <c r="B21" t="s">
        <v>404</v>
      </c>
      <c r="C21" s="193" t="s">
        <v>1017</v>
      </c>
    </row>
    <row r="22" spans="1:3" x14ac:dyDescent="0.25">
      <c r="A22" s="192" t="s">
        <v>995</v>
      </c>
      <c r="B22" t="s">
        <v>404</v>
      </c>
      <c r="C22" s="193" t="s">
        <v>1018</v>
      </c>
    </row>
    <row r="23" spans="1:3" x14ac:dyDescent="0.25">
      <c r="A23" s="192" t="s">
        <v>996</v>
      </c>
      <c r="B23" t="s">
        <v>404</v>
      </c>
      <c r="C23" s="193" t="s">
        <v>1019</v>
      </c>
    </row>
    <row r="24" spans="1:3" x14ac:dyDescent="0.25">
      <c r="A24" s="192" t="s">
        <v>997</v>
      </c>
      <c r="B24" t="s">
        <v>404</v>
      </c>
      <c r="C24" s="193" t="s">
        <v>1020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T133"/>
  <sheetViews>
    <sheetView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B27" sqref="B27"/>
    </sheetView>
  </sheetViews>
  <sheetFormatPr defaultColWidth="9.140625" defaultRowHeight="15" x14ac:dyDescent="0.25"/>
  <cols>
    <col min="1" max="1" width="9.7109375" style="4" hidden="1" customWidth="1"/>
    <col min="2" max="2" width="10.28515625" style="4" customWidth="1"/>
    <col min="3" max="3" width="12.28515625" style="21" bestFit="1" customWidth="1"/>
    <col min="4" max="4" width="8.7109375" style="21" bestFit="1" customWidth="1"/>
    <col min="5" max="5" width="29" style="4" customWidth="1"/>
    <col min="6" max="6" width="51" style="15" customWidth="1"/>
    <col min="7" max="7" width="22.7109375" style="4" customWidth="1"/>
    <col min="8" max="8" width="12.85546875" style="4" bestFit="1" customWidth="1"/>
    <col min="9" max="9" width="32.5703125" style="4" bestFit="1" customWidth="1"/>
    <col min="10" max="10" width="14.28515625" style="4" bestFit="1" customWidth="1"/>
    <col min="11" max="11" width="21" style="4" bestFit="1" customWidth="1"/>
    <col min="12" max="12" width="10.7109375" style="4" bestFit="1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12" style="4" customWidth="1"/>
    <col min="42" max="42" width="13" style="4" customWidth="1"/>
    <col min="43" max="43" width="9.140625" style="4" customWidth="1"/>
    <col min="44" max="44" width="14.85546875" style="4" customWidth="1"/>
    <col min="45" max="45" width="17.140625" style="4" customWidth="1"/>
    <col min="46" max="46" width="11.5703125" style="4" bestFit="1" customWidth="1"/>
    <col min="47" max="47" width="11.140625" style="4" bestFit="1" customWidth="1"/>
    <col min="48" max="48" width="11.42578125" style="4" bestFit="1" customWidth="1"/>
    <col min="49" max="49" width="8.28515625" style="4" bestFit="1" customWidth="1"/>
    <col min="50" max="50" width="11.42578125" style="4" bestFit="1" customWidth="1"/>
    <col min="51" max="51" width="8.85546875" style="4" bestFit="1" customWidth="1"/>
    <col min="52" max="52" width="7" style="4" bestFit="1" customWidth="1"/>
    <col min="53" max="53" width="17.85546875" style="4" customWidth="1"/>
    <col min="54" max="54" width="6.85546875" style="4" bestFit="1" customWidth="1"/>
    <col min="55" max="55" width="6.7109375" style="4" customWidth="1"/>
    <col min="56" max="56" width="7.5703125" style="4" bestFit="1" customWidth="1"/>
    <col min="57" max="57" width="7" style="4" bestFit="1" customWidth="1"/>
    <col min="58" max="58" width="20.140625" style="4" bestFit="1" customWidth="1"/>
    <col min="59" max="59" width="6.85546875" style="4" bestFit="1" customWidth="1"/>
    <col min="60" max="60" width="5.5703125" style="4" bestFit="1" customWidth="1"/>
    <col min="61" max="61" width="7.5703125" style="4" bestFit="1" customWidth="1"/>
    <col min="62" max="62" width="17.85546875" style="4" customWidth="1"/>
    <col min="63" max="63" width="10.42578125" style="4" bestFit="1" customWidth="1"/>
    <col min="64" max="64" width="12" style="4" bestFit="1" customWidth="1"/>
    <col min="65" max="66" width="14.42578125" style="4" bestFit="1" customWidth="1"/>
    <col min="67" max="67" width="13.28515625" style="4" bestFit="1" customWidth="1"/>
    <col min="68" max="68" width="16.28515625" style="4" bestFit="1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16384" width="9.140625" style="4"/>
  </cols>
  <sheetData>
    <row r="2" spans="1:72" ht="23.45" x14ac:dyDescent="0.3">
      <c r="F2" s="2" t="s">
        <v>184</v>
      </c>
      <c r="H2" s="2"/>
      <c r="I2" s="3"/>
    </row>
    <row r="3" spans="1:72" ht="21" x14ac:dyDescent="0.3">
      <c r="F3" s="55">
        <v>42135</v>
      </c>
    </row>
    <row r="4" spans="1:72" ht="15.75" customHeight="1" x14ac:dyDescent="0.3">
      <c r="E4" s="16" t="s">
        <v>17</v>
      </c>
      <c r="G4" s="65"/>
      <c r="H4" s="65"/>
      <c r="I4" s="66" t="s">
        <v>15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209" t="s">
        <v>16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 t="s">
        <v>85</v>
      </c>
      <c r="AQ4" s="210"/>
      <c r="AR4" s="211" t="s">
        <v>19</v>
      </c>
      <c r="AS4" s="211"/>
      <c r="AT4" s="212" t="s">
        <v>91</v>
      </c>
      <c r="AU4" s="212"/>
      <c r="AV4" s="212"/>
      <c r="AW4" s="212"/>
      <c r="AX4" s="212"/>
      <c r="AY4" s="212"/>
      <c r="AZ4" s="213" t="s">
        <v>22</v>
      </c>
      <c r="BA4" s="213"/>
      <c r="BB4" s="213"/>
      <c r="BC4" s="213"/>
      <c r="BD4" s="213"/>
      <c r="BE4" s="208" t="s">
        <v>28</v>
      </c>
      <c r="BF4" s="208"/>
      <c r="BG4" s="208"/>
      <c r="BH4" s="208"/>
      <c r="BI4" s="208"/>
      <c r="BJ4" s="207" t="s">
        <v>34</v>
      </c>
      <c r="BK4" s="207"/>
      <c r="BL4" s="207"/>
      <c r="BM4" s="207"/>
      <c r="BN4" s="207"/>
      <c r="BO4" s="207"/>
      <c r="BP4" s="207"/>
      <c r="BQ4" s="207"/>
    </row>
    <row r="5" spans="1:72" ht="14.45" x14ac:dyDescent="0.3">
      <c r="A5" s="156" t="s">
        <v>293</v>
      </c>
      <c r="B5" s="156" t="s">
        <v>294</v>
      </c>
      <c r="C5" s="17" t="s">
        <v>0</v>
      </c>
      <c r="D5" s="22" t="s">
        <v>83</v>
      </c>
      <c r="E5" s="17" t="s">
        <v>2</v>
      </c>
      <c r="F5" s="5" t="s">
        <v>1</v>
      </c>
      <c r="G5" s="6" t="s">
        <v>3</v>
      </c>
      <c r="H5" s="6" t="s">
        <v>7</v>
      </c>
      <c r="I5" s="6" t="s">
        <v>4</v>
      </c>
      <c r="J5" s="6" t="s">
        <v>6</v>
      </c>
      <c r="K5" s="6" t="s">
        <v>5</v>
      </c>
      <c r="L5" s="6" t="s">
        <v>56</v>
      </c>
      <c r="M5" s="6" t="s">
        <v>54</v>
      </c>
      <c r="N5" s="6" t="s">
        <v>57</v>
      </c>
      <c r="O5" s="6" t="s">
        <v>58</v>
      </c>
      <c r="P5" s="6" t="s">
        <v>59</v>
      </c>
      <c r="Q5" s="6" t="s">
        <v>60</v>
      </c>
      <c r="R5" s="6" t="s">
        <v>61</v>
      </c>
      <c r="S5" s="6" t="s">
        <v>80</v>
      </c>
      <c r="T5" s="6" t="s">
        <v>61</v>
      </c>
      <c r="U5" s="7" t="s">
        <v>8</v>
      </c>
      <c r="V5" s="7" t="s">
        <v>47</v>
      </c>
      <c r="W5" s="7" t="s">
        <v>9</v>
      </c>
      <c r="X5" s="7" t="s">
        <v>36</v>
      </c>
      <c r="Y5" s="7" t="s">
        <v>10</v>
      </c>
      <c r="Z5" s="7" t="s">
        <v>48</v>
      </c>
      <c r="AA5" s="7" t="s">
        <v>11</v>
      </c>
      <c r="AB5" s="7" t="s">
        <v>53</v>
      </c>
      <c r="AC5" s="7" t="s">
        <v>12</v>
      </c>
      <c r="AD5" s="7" t="s">
        <v>52</v>
      </c>
      <c r="AE5" s="7" t="s">
        <v>49</v>
      </c>
      <c r="AF5" s="7" t="s">
        <v>14</v>
      </c>
      <c r="AG5" s="7" t="s">
        <v>37</v>
      </c>
      <c r="AH5" s="7" t="s">
        <v>50</v>
      </c>
      <c r="AI5" s="7" t="s">
        <v>51</v>
      </c>
      <c r="AJ5" s="7" t="s">
        <v>46</v>
      </c>
      <c r="AK5" s="7" t="s">
        <v>38</v>
      </c>
      <c r="AL5" s="7" t="s">
        <v>86</v>
      </c>
      <c r="AM5" s="7" t="s">
        <v>39</v>
      </c>
      <c r="AN5" s="7" t="s">
        <v>40</v>
      </c>
      <c r="AO5" s="7" t="s">
        <v>13</v>
      </c>
      <c r="AP5" s="11" t="s">
        <v>20</v>
      </c>
      <c r="AQ5" s="11" t="s">
        <v>21</v>
      </c>
      <c r="AR5" s="8" t="s">
        <v>18</v>
      </c>
      <c r="AS5" s="8" t="s">
        <v>55</v>
      </c>
      <c r="AT5" s="70" t="s">
        <v>23</v>
      </c>
      <c r="AU5" s="70" t="s">
        <v>24</v>
      </c>
      <c r="AV5" s="70" t="s">
        <v>25</v>
      </c>
      <c r="AW5" s="70" t="s">
        <v>92</v>
      </c>
      <c r="AX5" s="70" t="s">
        <v>25</v>
      </c>
      <c r="AY5" s="70" t="s">
        <v>93</v>
      </c>
      <c r="AZ5" s="9" t="s">
        <v>23</v>
      </c>
      <c r="BA5" s="9" t="s">
        <v>24</v>
      </c>
      <c r="BB5" s="9" t="s">
        <v>25</v>
      </c>
      <c r="BC5" s="9" t="s">
        <v>26</v>
      </c>
      <c r="BD5" s="9" t="s">
        <v>27</v>
      </c>
      <c r="BE5" s="10" t="s">
        <v>23</v>
      </c>
      <c r="BF5" s="10" t="s">
        <v>24</v>
      </c>
      <c r="BG5" s="10" t="s">
        <v>25</v>
      </c>
      <c r="BH5" s="10" t="s">
        <v>26</v>
      </c>
      <c r="BI5" s="10" t="s">
        <v>27</v>
      </c>
      <c r="BJ5" s="11" t="s">
        <v>45</v>
      </c>
      <c r="BK5" s="12" t="s">
        <v>29</v>
      </c>
      <c r="BL5" s="12" t="s">
        <v>30</v>
      </c>
      <c r="BM5" s="12" t="s">
        <v>31</v>
      </c>
      <c r="BN5" s="12" t="s">
        <v>32</v>
      </c>
      <c r="BO5" s="12" t="s">
        <v>33</v>
      </c>
      <c r="BP5" s="12" t="s">
        <v>35</v>
      </c>
      <c r="BQ5" s="12" t="s">
        <v>44</v>
      </c>
      <c r="BR5" s="12" t="s">
        <v>41</v>
      </c>
      <c r="BS5" s="12" t="s">
        <v>42</v>
      </c>
      <c r="BT5" s="12" t="s">
        <v>43</v>
      </c>
    </row>
    <row r="6" spans="1:72" s="1" customFormat="1" ht="14.45" x14ac:dyDescent="0.3">
      <c r="A6" s="157">
        <v>42130</v>
      </c>
      <c r="B6" s="175" t="s">
        <v>14</v>
      </c>
      <c r="C6" s="140" t="s">
        <v>1021</v>
      </c>
      <c r="D6" s="73" t="s">
        <v>216</v>
      </c>
      <c r="E6" s="73" t="s">
        <v>156</v>
      </c>
      <c r="F6" s="51" t="s">
        <v>1030</v>
      </c>
      <c r="G6" s="188" t="s">
        <v>222</v>
      </c>
      <c r="H6" s="52">
        <v>95021102</v>
      </c>
      <c r="I6" s="118"/>
      <c r="J6" s="118"/>
      <c r="K6" s="44"/>
      <c r="L6" s="45"/>
      <c r="M6" s="45"/>
      <c r="N6" s="45"/>
      <c r="O6" s="69"/>
      <c r="P6" s="69"/>
      <c r="Q6" s="69"/>
      <c r="R6" s="69"/>
      <c r="S6" s="69"/>
      <c r="T6" s="69"/>
      <c r="U6" s="44"/>
      <c r="V6" s="68"/>
      <c r="W6" s="44"/>
      <c r="X6" s="68"/>
      <c r="Y6" s="140"/>
      <c r="Z6" s="68"/>
      <c r="AA6" s="44"/>
      <c r="AB6" s="86" t="s">
        <v>1035</v>
      </c>
      <c r="AC6" s="118"/>
      <c r="AD6" s="161"/>
      <c r="AE6" s="118"/>
      <c r="AF6" s="118"/>
      <c r="AG6" s="118"/>
      <c r="AH6" s="118"/>
      <c r="AI6" s="118"/>
      <c r="AJ6" s="118"/>
      <c r="AK6" s="140"/>
      <c r="AL6" s="118"/>
      <c r="AM6" s="118"/>
      <c r="AN6" s="118"/>
      <c r="AO6" s="44"/>
      <c r="AP6" s="181">
        <v>19.59</v>
      </c>
      <c r="AQ6" s="42">
        <f>AP6/0.444</f>
        <v>44.121621621621621</v>
      </c>
      <c r="AR6" s="95" t="s">
        <v>1025</v>
      </c>
      <c r="AS6" s="96">
        <v>10038568742404</v>
      </c>
      <c r="AT6" s="203">
        <v>9</v>
      </c>
      <c r="AU6" s="203">
        <v>6.26</v>
      </c>
      <c r="AV6" s="203">
        <v>2.2599999999999998</v>
      </c>
      <c r="AW6" s="97"/>
      <c r="AX6" s="97"/>
      <c r="AY6" s="97"/>
      <c r="AZ6" s="74">
        <f>7+(0.018*2)</f>
        <v>7.0359999999999996</v>
      </c>
      <c r="BA6" s="74">
        <f>2.5+(0.018*2)</f>
        <v>2.536</v>
      </c>
      <c r="BB6" s="74">
        <f>11.75+(0.018*4)</f>
        <v>11.821999999999999</v>
      </c>
      <c r="BC6" s="202">
        <f t="shared" ref="BC6:BC8" si="0">(BB6*BA6*AZ6)/1728</f>
        <v>0.12207375307407406</v>
      </c>
      <c r="BD6" s="74">
        <f>0.412+0.1</f>
        <v>0.51200000000000001</v>
      </c>
      <c r="BE6" s="204">
        <f>12+(0.125*2)</f>
        <v>12.25</v>
      </c>
      <c r="BF6" s="204">
        <f>7.25+(0.125*2)</f>
        <v>7.5</v>
      </c>
      <c r="BG6" s="204">
        <f>8+(0.125*4)</f>
        <v>8.5</v>
      </c>
      <c r="BH6" s="202">
        <f>(BG6*BF6*BE6)/1728</f>
        <v>0.4519314236111111</v>
      </c>
      <c r="BI6" s="74">
        <f>(BD6*3)+0.25</f>
        <v>1.786</v>
      </c>
      <c r="BJ6" s="205" t="s">
        <v>68</v>
      </c>
      <c r="BK6" s="205">
        <v>3</v>
      </c>
      <c r="BL6" s="205">
        <v>20</v>
      </c>
      <c r="BM6" s="205">
        <v>5</v>
      </c>
      <c r="BN6" s="49">
        <f>BK6*BL6*BM6</f>
        <v>300</v>
      </c>
      <c r="BO6" s="49">
        <f>(BI6*BL6*BM6)+50</f>
        <v>228.6</v>
      </c>
      <c r="BP6" s="205" t="s">
        <v>217</v>
      </c>
      <c r="BQ6" s="49" t="s">
        <v>67</v>
      </c>
      <c r="BR6" s="71"/>
      <c r="BS6" s="71"/>
      <c r="BT6" s="71"/>
    </row>
    <row r="7" spans="1:72" s="1" customFormat="1" ht="14.45" x14ac:dyDescent="0.3">
      <c r="A7" s="157">
        <v>42130</v>
      </c>
      <c r="B7" s="175" t="s">
        <v>36</v>
      </c>
      <c r="C7" s="140" t="s">
        <v>1021</v>
      </c>
      <c r="D7" s="73" t="s">
        <v>216</v>
      </c>
      <c r="E7" s="73" t="s">
        <v>156</v>
      </c>
      <c r="F7" s="51" t="s">
        <v>1030</v>
      </c>
      <c r="G7" s="188" t="s">
        <v>222</v>
      </c>
      <c r="H7" s="52">
        <v>95021102</v>
      </c>
      <c r="I7" s="118"/>
      <c r="J7" s="118"/>
      <c r="K7" s="44"/>
      <c r="L7" s="45"/>
      <c r="M7" s="45"/>
      <c r="N7" s="45"/>
      <c r="O7" s="69"/>
      <c r="P7" s="69"/>
      <c r="Q7" s="69"/>
      <c r="R7" s="69"/>
      <c r="S7" s="69"/>
      <c r="T7" s="69"/>
      <c r="U7" s="44"/>
      <c r="V7" s="68"/>
      <c r="W7" s="44"/>
      <c r="X7" s="68"/>
      <c r="Y7" s="140"/>
      <c r="Z7" s="68"/>
      <c r="AA7" s="44"/>
      <c r="AB7" s="86" t="s">
        <v>1035</v>
      </c>
      <c r="AC7" s="118"/>
      <c r="AD7" s="161"/>
      <c r="AE7" s="118"/>
      <c r="AF7" s="118"/>
      <c r="AG7" s="118"/>
      <c r="AH7" s="118"/>
      <c r="AI7" s="118"/>
      <c r="AJ7" s="118"/>
      <c r="AK7" s="140"/>
      <c r="AL7" s="118"/>
      <c r="AM7" s="118"/>
      <c r="AN7" s="118"/>
      <c r="AO7" s="44"/>
      <c r="AP7" s="181">
        <v>19.59</v>
      </c>
      <c r="AQ7" s="42">
        <f>AP7/0.444</f>
        <v>44.121621621621621</v>
      </c>
      <c r="AR7" s="95" t="s">
        <v>1026</v>
      </c>
      <c r="AS7" s="96">
        <v>10038568316063</v>
      </c>
      <c r="AT7" s="203">
        <v>9</v>
      </c>
      <c r="AU7" s="203">
        <v>6.26</v>
      </c>
      <c r="AV7" s="203">
        <v>2.2599999999999998</v>
      </c>
      <c r="AW7" s="97"/>
      <c r="AX7" s="97"/>
      <c r="AY7" s="97"/>
      <c r="AZ7" s="74">
        <f>7+(0.018*2)</f>
        <v>7.0359999999999996</v>
      </c>
      <c r="BA7" s="74">
        <f>2.5+(0.018*2)</f>
        <v>2.536</v>
      </c>
      <c r="BB7" s="74">
        <f>11.75+(0.018*4)</f>
        <v>11.821999999999999</v>
      </c>
      <c r="BC7" s="202">
        <f t="shared" si="0"/>
        <v>0.12207375307407406</v>
      </c>
      <c r="BD7" s="74">
        <f>0.412+0.1</f>
        <v>0.51200000000000001</v>
      </c>
      <c r="BE7" s="204">
        <f>12+(0.125*2)</f>
        <v>12.25</v>
      </c>
      <c r="BF7" s="204">
        <f>7.25+(0.125*2)</f>
        <v>7.5</v>
      </c>
      <c r="BG7" s="204">
        <f>8+(0.125*4)</f>
        <v>8.5</v>
      </c>
      <c r="BH7" s="202">
        <f>(BG7*BF7*BE7)/1728</f>
        <v>0.4519314236111111</v>
      </c>
      <c r="BI7" s="74">
        <f>(BD7*3)+0.25</f>
        <v>1.786</v>
      </c>
      <c r="BJ7" s="205" t="s">
        <v>68</v>
      </c>
      <c r="BK7" s="205">
        <v>3</v>
      </c>
      <c r="BL7" s="205">
        <v>20</v>
      </c>
      <c r="BM7" s="205">
        <v>5</v>
      </c>
      <c r="BN7" s="49">
        <f>BK7*BL7*BM7</f>
        <v>300</v>
      </c>
      <c r="BO7" s="49">
        <f>(BI7*BL7*BM7)+50</f>
        <v>228.6</v>
      </c>
      <c r="BP7" s="205" t="s">
        <v>217</v>
      </c>
      <c r="BQ7" s="49" t="s">
        <v>67</v>
      </c>
      <c r="BR7" s="71"/>
      <c r="BS7" s="71"/>
      <c r="BT7" s="71"/>
    </row>
    <row r="8" spans="1:72" s="1" customFormat="1" ht="14.45" x14ac:dyDescent="0.3">
      <c r="A8" s="157">
        <v>42130</v>
      </c>
      <c r="B8" s="175" t="s">
        <v>14</v>
      </c>
      <c r="C8" s="140" t="s">
        <v>303</v>
      </c>
      <c r="D8" s="73" t="s">
        <v>216</v>
      </c>
      <c r="E8" s="73" t="s">
        <v>156</v>
      </c>
      <c r="F8" s="51" t="s">
        <v>1033</v>
      </c>
      <c r="G8" s="188" t="s">
        <v>1032</v>
      </c>
      <c r="H8" s="52" t="s">
        <v>1031</v>
      </c>
      <c r="I8" s="118"/>
      <c r="J8" s="118"/>
      <c r="K8" s="44"/>
      <c r="L8" s="45"/>
      <c r="M8" s="45"/>
      <c r="N8" s="45"/>
      <c r="O8" s="69"/>
      <c r="P8" s="69"/>
      <c r="Q8" s="69"/>
      <c r="R8" s="69"/>
      <c r="S8" s="69"/>
      <c r="T8" s="69"/>
      <c r="U8" s="44"/>
      <c r="V8" s="68"/>
      <c r="W8" s="44"/>
      <c r="X8" s="68"/>
      <c r="Y8" s="140"/>
      <c r="Z8" s="68"/>
      <c r="AA8" s="44"/>
      <c r="AB8" s="86" t="s">
        <v>1034</v>
      </c>
      <c r="AC8" s="118"/>
      <c r="AD8" s="161"/>
      <c r="AE8" s="118"/>
      <c r="AF8" s="118"/>
      <c r="AG8" s="118"/>
      <c r="AH8" s="118"/>
      <c r="AI8" s="118"/>
      <c r="AJ8" s="118"/>
      <c r="AK8" s="140"/>
      <c r="AL8" s="118"/>
      <c r="AM8" s="118"/>
      <c r="AN8" s="118"/>
      <c r="AO8" s="44"/>
      <c r="AP8" s="181">
        <v>19.86</v>
      </c>
      <c r="AQ8" s="42">
        <f>AP8/0.444</f>
        <v>44.729729729729726</v>
      </c>
      <c r="AR8" s="95" t="s">
        <v>1027</v>
      </c>
      <c r="AS8" s="96">
        <v>10038568742336</v>
      </c>
      <c r="AT8" s="203">
        <v>11.67</v>
      </c>
      <c r="AU8" s="203">
        <v>6.48</v>
      </c>
      <c r="AV8" s="203">
        <v>2.09</v>
      </c>
      <c r="AW8" s="97"/>
      <c r="AX8" s="97"/>
      <c r="AY8" s="97"/>
      <c r="AZ8" s="74">
        <f>7+(0.018*2)</f>
        <v>7.0359999999999996</v>
      </c>
      <c r="BA8" s="74">
        <f>2.5+(0.018*2)</f>
        <v>2.536</v>
      </c>
      <c r="BB8" s="74">
        <f>11.75+(0.018*4)</f>
        <v>11.821999999999999</v>
      </c>
      <c r="BC8" s="202">
        <f t="shared" si="0"/>
        <v>0.12207375307407406</v>
      </c>
      <c r="BD8" s="74">
        <f>0.7+0.1</f>
        <v>0.79999999999999993</v>
      </c>
      <c r="BE8" s="204">
        <f>12+(0.125*2)</f>
        <v>12.25</v>
      </c>
      <c r="BF8" s="204">
        <f>7.25+(0.125*2)</f>
        <v>7.5</v>
      </c>
      <c r="BG8" s="204">
        <f>8+(0.125*4)</f>
        <v>8.5</v>
      </c>
      <c r="BH8" s="202">
        <f>(BG8*BF8*BE8)/1728</f>
        <v>0.4519314236111111</v>
      </c>
      <c r="BI8" s="74">
        <f>(BD8*3)+0.25</f>
        <v>2.65</v>
      </c>
      <c r="BJ8" s="205" t="s">
        <v>68</v>
      </c>
      <c r="BK8" s="205">
        <v>3</v>
      </c>
      <c r="BL8" s="205">
        <v>20</v>
      </c>
      <c r="BM8" s="205">
        <v>5</v>
      </c>
      <c r="BN8" s="49">
        <f>BK8*BL8*BM8</f>
        <v>300</v>
      </c>
      <c r="BO8" s="49">
        <f>(BI8*BL8*BM8)+50</f>
        <v>315</v>
      </c>
      <c r="BP8" s="205" t="s">
        <v>307</v>
      </c>
      <c r="BQ8" s="49" t="s">
        <v>67</v>
      </c>
      <c r="BR8" s="71"/>
      <c r="BS8" s="71"/>
      <c r="BT8" s="71"/>
    </row>
    <row r="9" spans="1:72" s="1" customFormat="1" ht="43.15" x14ac:dyDescent="0.3">
      <c r="A9" s="157">
        <v>42130</v>
      </c>
      <c r="B9" s="175" t="s">
        <v>14</v>
      </c>
      <c r="C9" s="140" t="s">
        <v>1022</v>
      </c>
      <c r="D9" s="73" t="s">
        <v>73</v>
      </c>
      <c r="E9" s="73" t="s">
        <v>1023</v>
      </c>
      <c r="F9" s="150" t="s">
        <v>1024</v>
      </c>
      <c r="G9" s="188"/>
      <c r="H9" s="52"/>
      <c r="I9" s="118"/>
      <c r="J9" s="118"/>
      <c r="K9" s="44"/>
      <c r="L9" s="45"/>
      <c r="M9" s="45"/>
      <c r="N9" s="45"/>
      <c r="O9" s="69"/>
      <c r="P9" s="69"/>
      <c r="Q9" s="69"/>
      <c r="R9" s="69"/>
      <c r="S9" s="69"/>
      <c r="T9" s="69"/>
      <c r="U9" s="44"/>
      <c r="V9" s="68"/>
      <c r="W9" s="44"/>
      <c r="X9" s="68"/>
      <c r="Y9" s="140"/>
      <c r="Z9" s="68"/>
      <c r="AA9" s="44"/>
      <c r="AB9" s="161"/>
      <c r="AC9" s="118"/>
      <c r="AD9" s="161"/>
      <c r="AE9" s="118"/>
      <c r="AF9" s="118"/>
      <c r="AG9" s="118"/>
      <c r="AH9" s="118"/>
      <c r="AI9" s="118"/>
      <c r="AJ9" s="118"/>
      <c r="AK9" s="140"/>
      <c r="AL9" s="118"/>
      <c r="AM9" s="118"/>
      <c r="AN9" s="118"/>
      <c r="AO9" s="44"/>
      <c r="AP9" s="181">
        <v>109.42</v>
      </c>
      <c r="AQ9" s="195">
        <f>AP9/0.444</f>
        <v>246.44144144144144</v>
      </c>
      <c r="AR9" s="95" t="s">
        <v>1028</v>
      </c>
      <c r="AS9" s="96">
        <v>10038568742909</v>
      </c>
      <c r="AT9" s="97"/>
      <c r="AU9" s="97"/>
      <c r="AV9" s="97"/>
      <c r="AW9" s="97"/>
      <c r="AX9" s="97"/>
      <c r="AY9" s="97"/>
      <c r="AZ9" s="214" t="s">
        <v>84</v>
      </c>
      <c r="BA9" s="214"/>
      <c r="BB9" s="214"/>
      <c r="BC9" s="214"/>
      <c r="BD9" s="214"/>
      <c r="BE9" s="204">
        <f>12.75+(0.125*2)</f>
        <v>13</v>
      </c>
      <c r="BF9" s="204">
        <f>8.62+(0.125*2)</f>
        <v>8.8699999999999992</v>
      </c>
      <c r="BG9" s="204">
        <f>11.5+(0.125*4)</f>
        <v>12</v>
      </c>
      <c r="BH9" s="202">
        <f t="shared" ref="BH9" si="1">(BG9*BF9*BE9)/1728</f>
        <v>0.80076388888888894</v>
      </c>
      <c r="BI9" s="74">
        <f>11.78+0.25</f>
        <v>12.03</v>
      </c>
      <c r="BJ9" s="205" t="s">
        <v>68</v>
      </c>
      <c r="BK9" s="205">
        <v>1</v>
      </c>
      <c r="BL9" s="205">
        <v>15</v>
      </c>
      <c r="BM9" s="205">
        <v>3</v>
      </c>
      <c r="BN9" s="49">
        <f t="shared" ref="BN9" si="2">BK9*BL9*BM9</f>
        <v>45</v>
      </c>
      <c r="BO9" s="49">
        <f t="shared" ref="BO9" si="3">(BI9*BL9*BM9)+50</f>
        <v>591.34999999999991</v>
      </c>
      <c r="BP9" s="51" t="s">
        <v>1029</v>
      </c>
      <c r="BQ9" s="49" t="s">
        <v>67</v>
      </c>
      <c r="BR9" s="71"/>
      <c r="BS9" s="71"/>
      <c r="BT9" s="71"/>
    </row>
    <row r="10" spans="1:72" s="1" customFormat="1" ht="14.45" x14ac:dyDescent="0.3">
      <c r="A10" s="157"/>
      <c r="B10" s="165"/>
      <c r="C10" s="163"/>
      <c r="D10" s="73"/>
      <c r="E10" s="73"/>
      <c r="F10" s="150"/>
      <c r="G10" s="188"/>
      <c r="H10" s="52"/>
      <c r="I10" s="118"/>
      <c r="J10" s="118"/>
      <c r="K10" s="44"/>
      <c r="L10" s="45"/>
      <c r="M10" s="45"/>
      <c r="N10" s="45"/>
      <c r="O10" s="69"/>
      <c r="P10" s="69"/>
      <c r="Q10" s="69"/>
      <c r="R10" s="69"/>
      <c r="S10" s="69"/>
      <c r="T10" s="69"/>
      <c r="U10" s="44"/>
      <c r="V10" s="68"/>
      <c r="W10" s="44"/>
      <c r="X10" s="68"/>
      <c r="Y10" s="140"/>
      <c r="Z10" s="68"/>
      <c r="AA10" s="44"/>
      <c r="AB10" s="161"/>
      <c r="AC10" s="118"/>
      <c r="AD10" s="161"/>
      <c r="AE10" s="118"/>
      <c r="AF10" s="118"/>
      <c r="AG10" s="118"/>
      <c r="AH10" s="118"/>
      <c r="AI10" s="118"/>
      <c r="AJ10" s="118"/>
      <c r="AK10" s="140"/>
      <c r="AL10" s="118"/>
      <c r="AM10" s="118"/>
      <c r="AN10" s="118"/>
      <c r="AO10" s="44"/>
      <c r="AP10" s="181"/>
      <c r="AQ10" s="42"/>
      <c r="AR10" s="95"/>
      <c r="AS10" s="96"/>
      <c r="AT10" s="203"/>
      <c r="AU10" s="203"/>
      <c r="AV10" s="203"/>
      <c r="AW10" s="97"/>
      <c r="AX10" s="97"/>
      <c r="AY10" s="97"/>
      <c r="AZ10" s="74"/>
      <c r="BA10" s="74"/>
      <c r="BB10" s="74"/>
      <c r="BC10" s="202"/>
      <c r="BD10" s="74"/>
      <c r="BE10" s="204"/>
      <c r="BF10" s="204"/>
      <c r="BG10" s="204"/>
      <c r="BH10" s="202"/>
      <c r="BI10" s="74"/>
      <c r="BJ10" s="205"/>
      <c r="BK10" s="205"/>
      <c r="BL10" s="205"/>
      <c r="BM10" s="205"/>
      <c r="BN10" s="49"/>
      <c r="BO10" s="49"/>
      <c r="BP10" s="205"/>
      <c r="BQ10" s="49"/>
      <c r="BR10" s="71"/>
      <c r="BS10" s="71"/>
      <c r="BT10" s="71"/>
    </row>
    <row r="11" spans="1:72" s="1" customFormat="1" ht="14.45" x14ac:dyDescent="0.3">
      <c r="A11" s="157"/>
      <c r="B11" s="165"/>
      <c r="C11" s="163"/>
      <c r="D11" s="73"/>
      <c r="E11" s="73"/>
      <c r="F11" s="150"/>
      <c r="G11" s="188"/>
      <c r="H11" s="52"/>
      <c r="I11" s="118"/>
      <c r="J11" s="118"/>
      <c r="K11" s="44"/>
      <c r="L11" s="45"/>
      <c r="M11" s="45"/>
      <c r="N11" s="45"/>
      <c r="O11" s="69"/>
      <c r="P11" s="69"/>
      <c r="Q11" s="69"/>
      <c r="R11" s="69"/>
      <c r="S11" s="69"/>
      <c r="T11" s="69"/>
      <c r="U11" s="44"/>
      <c r="V11" s="68"/>
      <c r="W11" s="44"/>
      <c r="X11" s="68"/>
      <c r="Y11" s="140"/>
      <c r="Z11" s="68"/>
      <c r="AA11" s="44"/>
      <c r="AB11" s="161"/>
      <c r="AC11" s="118"/>
      <c r="AD11" s="161"/>
      <c r="AE11" s="118"/>
      <c r="AF11" s="118"/>
      <c r="AG11" s="118"/>
      <c r="AH11" s="118"/>
      <c r="AI11" s="118"/>
      <c r="AJ11" s="118"/>
      <c r="AK11" s="140"/>
      <c r="AL11" s="118"/>
      <c r="AM11" s="118"/>
      <c r="AN11" s="118"/>
      <c r="AO11" s="44"/>
      <c r="AP11" s="181"/>
      <c r="AQ11" s="42"/>
      <c r="AR11" s="95"/>
      <c r="AS11" s="96"/>
      <c r="AT11" s="203"/>
      <c r="AU11" s="203"/>
      <c r="AV11" s="203"/>
      <c r="AW11" s="97"/>
      <c r="AX11" s="97"/>
      <c r="AY11" s="97"/>
      <c r="AZ11" s="74"/>
      <c r="BA11" s="74"/>
      <c r="BB11" s="74"/>
      <c r="BC11" s="202"/>
      <c r="BD11" s="74"/>
      <c r="BE11" s="204"/>
      <c r="BF11" s="204"/>
      <c r="BG11" s="204"/>
      <c r="BH11" s="202"/>
      <c r="BI11" s="74"/>
      <c r="BJ11" s="205"/>
      <c r="BK11" s="205"/>
      <c r="BL11" s="205"/>
      <c r="BM11" s="205"/>
      <c r="BN11" s="49"/>
      <c r="BO11" s="49"/>
      <c r="BP11" s="205"/>
      <c r="BQ11" s="49"/>
      <c r="BR11" s="71"/>
      <c r="BS11" s="71"/>
      <c r="BT11" s="71"/>
    </row>
    <row r="12" spans="1:72" s="21" customFormat="1" ht="15" customHeight="1" x14ac:dyDescent="0.3">
      <c r="C12" s="167"/>
      <c r="D12" s="18"/>
      <c r="E12" s="18"/>
      <c r="F12" s="18"/>
      <c r="G12" s="18"/>
      <c r="H12" s="14"/>
      <c r="I12" s="4"/>
      <c r="J12" s="4"/>
      <c r="K12" s="4"/>
      <c r="U12" s="4"/>
      <c r="AA12" s="4"/>
      <c r="AB12" s="4"/>
      <c r="AP12" s="19"/>
      <c r="AQ12" s="20"/>
      <c r="AR12" s="4"/>
      <c r="AZ12" s="13"/>
      <c r="BA12" s="13"/>
      <c r="BB12" s="13"/>
      <c r="BC12" s="4"/>
      <c r="BD12" s="13"/>
      <c r="BE12" s="13"/>
      <c r="BF12" s="13"/>
      <c r="BG12" s="13"/>
      <c r="BH12" s="4"/>
      <c r="BI12" s="13"/>
      <c r="BJ12" s="4"/>
      <c r="BK12" s="4"/>
      <c r="BP12" s="4"/>
      <c r="BQ12" s="14"/>
    </row>
    <row r="13" spans="1:72" ht="7.5" customHeight="1" x14ac:dyDescent="0.3">
      <c r="C13" s="160"/>
      <c r="D13" s="28"/>
      <c r="E13" s="28"/>
      <c r="F13" s="28"/>
      <c r="G13" s="28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29"/>
      <c r="V13" s="30"/>
      <c r="W13" s="30"/>
      <c r="X13" s="30"/>
      <c r="Y13" s="30"/>
      <c r="Z13" s="30"/>
      <c r="AA13" s="29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32"/>
      <c r="AR13" s="29"/>
      <c r="AS13" s="30"/>
      <c r="AT13" s="30"/>
      <c r="AU13" s="30"/>
      <c r="AV13" s="30"/>
      <c r="AW13" s="30"/>
      <c r="AX13" s="30"/>
      <c r="AY13" s="30"/>
      <c r="AZ13" s="33"/>
      <c r="BA13" s="33"/>
      <c r="BB13" s="33"/>
      <c r="BC13" s="29"/>
      <c r="BD13" s="33"/>
      <c r="BE13" s="33"/>
      <c r="BF13" s="33"/>
      <c r="BG13" s="33"/>
      <c r="BH13" s="29"/>
      <c r="BI13" s="33"/>
      <c r="BJ13" s="29"/>
      <c r="BK13" s="29"/>
      <c r="BL13" s="30"/>
      <c r="BM13" s="30"/>
      <c r="BN13" s="30"/>
      <c r="BO13" s="30"/>
      <c r="BP13" s="29"/>
      <c r="BQ13" s="34"/>
      <c r="BR13" s="30"/>
      <c r="BS13" s="21"/>
      <c r="BT13" s="21"/>
    </row>
    <row r="14" spans="1:72" ht="7.5" customHeight="1" x14ac:dyDescent="0.3">
      <c r="C14" s="15"/>
      <c r="D14" s="18"/>
      <c r="E14" s="18"/>
      <c r="F14" s="18"/>
      <c r="G14" s="18"/>
      <c r="H14" s="1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V14" s="21"/>
      <c r="W14" s="21"/>
      <c r="X14" s="21"/>
      <c r="Y14" s="21"/>
      <c r="Z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9"/>
      <c r="AQ14" s="20"/>
      <c r="AS14" s="21"/>
      <c r="AT14" s="21"/>
      <c r="AU14" s="21"/>
      <c r="AV14" s="21"/>
      <c r="AW14" s="21"/>
      <c r="AX14" s="21"/>
      <c r="AY14" s="21"/>
      <c r="AZ14" s="13"/>
      <c r="BA14" s="13"/>
      <c r="BB14" s="13"/>
      <c r="BD14" s="13"/>
      <c r="BE14" s="13"/>
      <c r="BF14" s="13"/>
      <c r="BG14" s="13"/>
      <c r="BI14" s="13"/>
      <c r="BL14" s="21"/>
      <c r="BM14" s="21"/>
      <c r="BN14" s="21"/>
      <c r="BO14" s="21"/>
      <c r="BQ14" s="14"/>
      <c r="BR14" s="21"/>
      <c r="BS14" s="21"/>
      <c r="BT14" s="21"/>
    </row>
    <row r="15" spans="1:72" ht="22.9" x14ac:dyDescent="0.3">
      <c r="C15" s="15"/>
      <c r="D15" s="18"/>
      <c r="E15" s="18"/>
      <c r="F15" s="168" t="s">
        <v>215</v>
      </c>
      <c r="H15" s="18"/>
      <c r="V15" s="21"/>
      <c r="W15" s="21"/>
      <c r="X15" s="21"/>
      <c r="Z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9"/>
      <c r="AQ15" s="20"/>
      <c r="AS15" s="21"/>
      <c r="AT15" s="21"/>
      <c r="AU15" s="21"/>
      <c r="AV15" s="21"/>
      <c r="AW15" s="21"/>
      <c r="AX15" s="21"/>
      <c r="AY15" s="21"/>
      <c r="AZ15" s="13"/>
      <c r="BA15" s="13"/>
      <c r="BB15" s="13"/>
      <c r="BD15" s="13"/>
      <c r="BE15" s="13"/>
      <c r="BF15" s="13"/>
      <c r="BG15" s="13"/>
      <c r="BI15" s="13"/>
      <c r="BL15" s="21"/>
      <c r="BM15" s="21"/>
      <c r="BN15" s="21"/>
      <c r="BO15" s="21"/>
      <c r="BQ15" s="14"/>
      <c r="BR15" s="21"/>
      <c r="BS15" s="21"/>
      <c r="BT15" s="21"/>
    </row>
    <row r="16" spans="1:72" s="21" customFormat="1" ht="14.45" x14ac:dyDescent="0.3">
      <c r="C16" s="15"/>
      <c r="D16" s="18"/>
      <c r="E16" s="18"/>
      <c r="F16" s="18"/>
      <c r="G16" s="18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19"/>
      <c r="AQ16" s="20"/>
      <c r="AR16" s="4"/>
      <c r="AS16" s="4"/>
      <c r="AT16" s="4"/>
      <c r="AU16" s="4"/>
      <c r="AV16" s="4"/>
      <c r="AW16" s="4"/>
      <c r="AX16" s="4"/>
      <c r="AY16" s="4"/>
      <c r="AZ16" s="13"/>
      <c r="BA16" s="13"/>
      <c r="BB16" s="13"/>
      <c r="BC16" s="4"/>
      <c r="BD16" s="13"/>
      <c r="BE16" s="13"/>
      <c r="BF16" s="13"/>
      <c r="BG16" s="13"/>
      <c r="BH16" s="4"/>
      <c r="BI16" s="13"/>
      <c r="BJ16" s="4"/>
      <c r="BK16" s="4"/>
      <c r="BL16" s="4"/>
      <c r="BM16" s="4"/>
      <c r="BP16" s="4"/>
      <c r="BQ16" s="14"/>
      <c r="BR16" s="4"/>
      <c r="BS16" s="4"/>
      <c r="BT16" s="4"/>
    </row>
    <row r="17" spans="1:72" ht="14.45" x14ac:dyDescent="0.3">
      <c r="C17" s="15"/>
      <c r="D17" s="18"/>
      <c r="E17" s="18"/>
      <c r="F17" s="5" t="s">
        <v>75</v>
      </c>
      <c r="G17" s="7" t="s">
        <v>87</v>
      </c>
      <c r="H17" s="7" t="s">
        <v>76</v>
      </c>
      <c r="AP17" s="19"/>
      <c r="AQ17" s="20"/>
      <c r="AZ17" s="13"/>
      <c r="BA17" s="13"/>
      <c r="BB17" s="13"/>
      <c r="BD17" s="13"/>
      <c r="BE17" s="13"/>
      <c r="BF17" s="13"/>
      <c r="BG17" s="13"/>
      <c r="BI17" s="13"/>
      <c r="BN17" s="21"/>
      <c r="BO17" s="21"/>
      <c r="BQ17" s="14"/>
    </row>
    <row r="18" spans="1:72" ht="14.45" x14ac:dyDescent="0.3">
      <c r="A18" s="157"/>
      <c r="B18" s="24"/>
      <c r="C18" s="46"/>
      <c r="D18" s="23"/>
      <c r="E18" s="51"/>
      <c r="F18" s="91"/>
      <c r="G18" s="58"/>
      <c r="H18" s="58"/>
      <c r="AP18" s="19"/>
      <c r="AQ18" s="20"/>
      <c r="AZ18" s="13"/>
      <c r="BA18" s="13"/>
      <c r="BB18" s="13"/>
      <c r="BD18" s="13"/>
      <c r="BE18" s="13"/>
      <c r="BF18" s="13"/>
      <c r="BG18" s="13"/>
      <c r="BI18" s="13"/>
      <c r="BN18" s="21"/>
      <c r="BO18" s="21"/>
      <c r="BQ18" s="14"/>
    </row>
    <row r="19" spans="1:72" ht="14.45" x14ac:dyDescent="0.3">
      <c r="A19" s="157"/>
      <c r="B19" s="24"/>
      <c r="C19" s="24"/>
      <c r="D19" s="23"/>
      <c r="E19" s="23"/>
      <c r="F19" s="91"/>
      <c r="G19" s="155"/>
      <c r="H19" s="155"/>
      <c r="AP19" s="19"/>
      <c r="AQ19" s="20"/>
      <c r="AZ19" s="13"/>
      <c r="BA19" s="13"/>
      <c r="BB19" s="13"/>
      <c r="BD19" s="13"/>
      <c r="BE19" s="13"/>
      <c r="BF19" s="13"/>
      <c r="BG19" s="13"/>
      <c r="BI19" s="13"/>
      <c r="BN19" s="21"/>
      <c r="BO19" s="21"/>
      <c r="BQ19" s="14"/>
    </row>
    <row r="20" spans="1:72" ht="14.45" x14ac:dyDescent="0.3">
      <c r="B20" s="54"/>
      <c r="C20" s="54"/>
      <c r="D20" s="23"/>
      <c r="E20" s="23"/>
      <c r="F20" s="62"/>
      <c r="G20" s="58"/>
      <c r="H20" s="5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V20" s="21"/>
      <c r="W20" s="21"/>
      <c r="X20" s="21"/>
      <c r="Y20" s="21"/>
      <c r="Z20" s="21"/>
      <c r="AE20" s="21"/>
      <c r="AF20" s="21"/>
      <c r="AG20" s="21"/>
      <c r="AH20" s="21"/>
      <c r="AI20" s="21"/>
      <c r="AJ20" s="21"/>
      <c r="AM20" s="21"/>
      <c r="AN20" s="21"/>
      <c r="AO20" s="21"/>
      <c r="AP20" s="19"/>
      <c r="AQ20" s="20"/>
      <c r="AS20" s="21"/>
      <c r="AT20" s="21"/>
      <c r="AU20" s="21"/>
      <c r="AV20" s="21"/>
      <c r="AW20" s="21"/>
      <c r="AX20" s="21"/>
      <c r="AY20" s="21"/>
      <c r="AZ20" s="13"/>
      <c r="BA20" s="13"/>
      <c r="BB20" s="13"/>
      <c r="BD20" s="13"/>
      <c r="BE20" s="13"/>
      <c r="BF20" s="13"/>
      <c r="BG20" s="13"/>
      <c r="BI20" s="13"/>
      <c r="BL20" s="21"/>
      <c r="BM20" s="21"/>
      <c r="BN20" s="21"/>
      <c r="BO20" s="21"/>
      <c r="BQ20" s="14"/>
      <c r="BR20" s="21"/>
      <c r="BS20" s="21"/>
      <c r="BT20" s="21"/>
    </row>
    <row r="21" spans="1:72" ht="14.45" x14ac:dyDescent="0.3">
      <c r="C21" s="15"/>
      <c r="D21" s="18"/>
      <c r="E21" s="18"/>
      <c r="F21" s="18"/>
      <c r="G21" s="18"/>
      <c r="H21" s="18"/>
      <c r="AQ21" s="20"/>
      <c r="AR21" s="21"/>
      <c r="BO21" s="21"/>
      <c r="BQ21" s="14"/>
    </row>
    <row r="22" spans="1:72" ht="7.5" customHeight="1" x14ac:dyDescent="0.3">
      <c r="C22" s="160"/>
      <c r="D22" s="28"/>
      <c r="E22" s="28"/>
      <c r="F22" s="28"/>
      <c r="G22" s="28"/>
      <c r="H22" s="2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V22" s="21"/>
      <c r="W22" s="21"/>
      <c r="X22" s="21"/>
      <c r="Y22" s="21"/>
      <c r="Z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9"/>
      <c r="AQ22" s="20"/>
      <c r="AS22" s="21"/>
      <c r="AT22" s="21"/>
      <c r="AU22" s="21"/>
      <c r="AV22" s="21"/>
      <c r="AW22" s="21"/>
      <c r="AX22" s="21"/>
      <c r="AY22" s="21"/>
      <c r="AZ22" s="13"/>
      <c r="BA22" s="13"/>
      <c r="BB22" s="13"/>
      <c r="BD22" s="13"/>
      <c r="BE22" s="13"/>
      <c r="BF22" s="13"/>
      <c r="BG22" s="13"/>
      <c r="BI22" s="13"/>
      <c r="BL22" s="21"/>
      <c r="BM22" s="21"/>
      <c r="BN22" s="21"/>
      <c r="BO22" s="21"/>
      <c r="BQ22" s="14"/>
      <c r="BR22" s="21"/>
      <c r="BS22" s="21"/>
      <c r="BT22" s="21"/>
    </row>
    <row r="23" spans="1:72" ht="7.5" customHeight="1" x14ac:dyDescent="0.3">
      <c r="C23" s="15"/>
      <c r="D23" s="18"/>
      <c r="E23" s="18"/>
      <c r="F23" s="18"/>
      <c r="G23" s="18"/>
      <c r="H23" s="1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V23" s="21"/>
      <c r="W23" s="21"/>
      <c r="X23" s="21"/>
      <c r="Y23" s="21"/>
      <c r="Z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9"/>
      <c r="AQ23" s="20"/>
      <c r="AS23" s="21"/>
      <c r="AT23" s="21"/>
      <c r="AU23" s="21"/>
      <c r="AV23" s="21"/>
      <c r="AW23" s="21"/>
      <c r="AX23" s="21"/>
      <c r="AY23" s="21"/>
      <c r="AZ23" s="13"/>
      <c r="BA23" s="13"/>
      <c r="BB23" s="13"/>
      <c r="BD23" s="13"/>
      <c r="BE23" s="13"/>
      <c r="BF23" s="13"/>
      <c r="BG23" s="13"/>
      <c r="BI23" s="13"/>
      <c r="BL23" s="21"/>
      <c r="BM23" s="21"/>
      <c r="BN23" s="21"/>
      <c r="BO23" s="21"/>
      <c r="BQ23" s="14"/>
      <c r="BR23" s="21"/>
      <c r="BS23" s="21"/>
      <c r="BT23" s="21"/>
    </row>
    <row r="24" spans="1:72" ht="22.9" x14ac:dyDescent="0.3">
      <c r="C24" s="15"/>
      <c r="D24" s="18"/>
      <c r="E24" s="18"/>
      <c r="F24" s="168" t="s">
        <v>79</v>
      </c>
      <c r="H24" s="18"/>
      <c r="AQ24" s="20"/>
      <c r="AR24" s="21"/>
      <c r="BO24" s="21"/>
      <c r="BQ24" s="14"/>
    </row>
    <row r="25" spans="1:72" ht="16.5" customHeight="1" x14ac:dyDescent="0.3">
      <c r="C25" s="15"/>
      <c r="D25" s="18"/>
      <c r="E25" s="18"/>
      <c r="F25" s="18"/>
      <c r="G25" s="26"/>
      <c r="H25" s="18"/>
      <c r="AQ25" s="20"/>
      <c r="AR25" s="21"/>
      <c r="BO25" s="21"/>
      <c r="BQ25" s="14"/>
    </row>
    <row r="26" spans="1:72" s="15" customFormat="1" ht="14.45" x14ac:dyDescent="0.3">
      <c r="C26" s="4"/>
      <c r="D26" s="4"/>
      <c r="E26" s="4"/>
      <c r="F26" s="5" t="s">
        <v>77</v>
      </c>
      <c r="G26" s="198" t="s">
        <v>3</v>
      </c>
      <c r="H26" s="6" t="s">
        <v>7</v>
      </c>
      <c r="I26" s="198" t="s">
        <v>4</v>
      </c>
      <c r="J26" s="6" t="s">
        <v>6</v>
      </c>
      <c r="K26" s="198" t="s">
        <v>5</v>
      </c>
      <c r="L26" s="6" t="s">
        <v>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9"/>
      <c r="AQ26" s="20"/>
      <c r="AR26" s="21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21"/>
      <c r="BP26" s="4"/>
      <c r="BQ26" s="4"/>
      <c r="BR26" s="4"/>
      <c r="BS26" s="4"/>
      <c r="BT26" s="4"/>
    </row>
    <row r="27" spans="1:72" ht="36.75" customHeight="1" x14ac:dyDescent="0.25">
      <c r="A27" s="157">
        <v>42109</v>
      </c>
      <c r="B27" s="142"/>
      <c r="C27" s="142"/>
      <c r="D27" s="46"/>
      <c r="E27" s="143"/>
      <c r="F27" s="201" t="s">
        <v>1044</v>
      </c>
      <c r="G27" s="35"/>
      <c r="H27" s="200"/>
      <c r="I27" s="24"/>
      <c r="J27" s="24"/>
      <c r="K27" s="24"/>
      <c r="L27" s="24"/>
      <c r="AP27" s="19"/>
      <c r="AQ27" s="20"/>
      <c r="AR27" s="21"/>
      <c r="BO27" s="21"/>
    </row>
    <row r="28" spans="1:72" x14ac:dyDescent="0.25">
      <c r="A28" s="157"/>
      <c r="B28" s="36" t="s">
        <v>14</v>
      </c>
      <c r="C28" s="196" t="s">
        <v>1036</v>
      </c>
      <c r="D28" s="197" t="s">
        <v>73</v>
      </c>
      <c r="E28" s="197" t="s">
        <v>1037</v>
      </c>
      <c r="F28" s="143" t="s">
        <v>1043</v>
      </c>
      <c r="G28" s="199" t="s">
        <v>351</v>
      </c>
      <c r="H28" s="199" t="s">
        <v>1038</v>
      </c>
      <c r="I28" s="206" t="s">
        <v>1039</v>
      </c>
      <c r="J28" s="199" t="s">
        <v>1040</v>
      </c>
      <c r="K28" s="206" t="s">
        <v>1041</v>
      </c>
      <c r="L28" s="199" t="s">
        <v>1042</v>
      </c>
      <c r="V28" s="21"/>
      <c r="W28" s="21"/>
      <c r="X28" s="21"/>
      <c r="Z28" s="21"/>
      <c r="AB28" s="21"/>
      <c r="AC28" s="21"/>
      <c r="AE28" s="21"/>
      <c r="AF28" s="21"/>
      <c r="AH28" s="21"/>
      <c r="AI28" s="21"/>
      <c r="AJ28" s="21"/>
      <c r="AK28" s="21"/>
      <c r="AL28" s="21"/>
      <c r="AM28" s="21"/>
      <c r="AN28" s="21"/>
      <c r="AO28" s="21"/>
      <c r="AP28" s="19"/>
      <c r="AQ28" s="20"/>
      <c r="AR28" s="21"/>
      <c r="AS28" s="21"/>
      <c r="AT28" s="21"/>
      <c r="AU28" s="21"/>
      <c r="AV28" s="21"/>
      <c r="AW28" s="21"/>
      <c r="AX28" s="21"/>
      <c r="AY28" s="21"/>
      <c r="BA28" s="21"/>
      <c r="BB28" s="21"/>
      <c r="BC28" s="21"/>
      <c r="BD28" s="21"/>
      <c r="BE28" s="21"/>
      <c r="BF28" s="21"/>
      <c r="BG28" s="21"/>
      <c r="BH28" s="21"/>
      <c r="BI28" s="21"/>
      <c r="BK28" s="21"/>
      <c r="BL28" s="21"/>
      <c r="BM28" s="21"/>
      <c r="BN28" s="21"/>
      <c r="BO28" s="21"/>
      <c r="BP28" s="21"/>
      <c r="BQ28" s="14"/>
      <c r="BR28" s="21"/>
      <c r="BS28" s="21"/>
      <c r="BT28" s="21"/>
    </row>
    <row r="29" spans="1:72" s="15" customFormat="1" x14ac:dyDescent="0.25">
      <c r="A29" s="157"/>
      <c r="B29" s="142"/>
      <c r="C29" s="142"/>
      <c r="D29" s="24"/>
      <c r="E29" s="24"/>
      <c r="F29" s="35"/>
      <c r="G29" s="101"/>
      <c r="H29" s="200"/>
      <c r="I29" s="24"/>
      <c r="J29" s="24"/>
      <c r="K29" s="24"/>
      <c r="L29" s="2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15" customFormat="1" x14ac:dyDescent="0.25">
      <c r="A30" s="157"/>
      <c r="B30" s="142"/>
      <c r="C30" s="142"/>
      <c r="D30" s="23"/>
      <c r="E30" s="24"/>
      <c r="F30" s="35"/>
      <c r="G30" s="101"/>
      <c r="H30" s="200"/>
      <c r="I30" s="24"/>
      <c r="J30" s="24"/>
      <c r="K30" s="24"/>
      <c r="L30" s="2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15" customFormat="1" x14ac:dyDescent="0.25">
      <c r="C31" s="21"/>
      <c r="D31" s="21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5" customFormat="1" x14ac:dyDescent="0.25">
      <c r="C32" s="21"/>
      <c r="D32" s="21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3:72" s="15" customFormat="1" x14ac:dyDescent="0.25">
      <c r="C33" s="21"/>
      <c r="D33" s="21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3:72" s="15" customFormat="1" x14ac:dyDescent="0.25">
      <c r="C34" s="21"/>
      <c r="D34" s="21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3:72" s="15" customFormat="1" x14ac:dyDescent="0.25">
      <c r="C35" s="21"/>
      <c r="D35" s="21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3:72" s="15" customFormat="1" x14ac:dyDescent="0.25">
      <c r="C36" s="21"/>
      <c r="D36" s="21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3:72" s="15" customFormat="1" x14ac:dyDescent="0.25">
      <c r="C37" s="21"/>
      <c r="D37" s="21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3:72" s="15" customFormat="1" x14ac:dyDescent="0.25">
      <c r="C38" s="21"/>
      <c r="D38" s="21"/>
      <c r="E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3:72" s="15" customFormat="1" x14ac:dyDescent="0.25">
      <c r="C39" s="21"/>
      <c r="D39" s="21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3:72" s="15" customFormat="1" x14ac:dyDescent="0.25">
      <c r="C40" s="21"/>
      <c r="D40" s="21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3:72" s="15" customFormat="1" x14ac:dyDescent="0.25">
      <c r="C41" s="21"/>
      <c r="D41" s="21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3:72" s="15" customFormat="1" x14ac:dyDescent="0.25">
      <c r="C42" s="21"/>
      <c r="D42" s="21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3:72" s="15" customFormat="1" x14ac:dyDescent="0.25">
      <c r="C43" s="21"/>
      <c r="D43" s="21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3:72" s="15" customFormat="1" x14ac:dyDescent="0.25">
      <c r="C44" s="21"/>
      <c r="D44" s="21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3:72" s="15" customFormat="1" x14ac:dyDescent="0.25">
      <c r="C45" s="21"/>
      <c r="D45" s="21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3:72" s="15" customFormat="1" x14ac:dyDescent="0.25">
      <c r="C46" s="21"/>
      <c r="D46" s="21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3:72" s="15" customFormat="1" x14ac:dyDescent="0.25">
      <c r="C47" s="21"/>
      <c r="D47" s="21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3:72" s="15" customFormat="1" x14ac:dyDescent="0.25">
      <c r="C48" s="21"/>
      <c r="D48" s="21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3:72" s="15" customFormat="1" x14ac:dyDescent="0.25">
      <c r="C49" s="21"/>
      <c r="D49" s="21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3:72" s="15" customFormat="1" x14ac:dyDescent="0.25">
      <c r="C50" s="21"/>
      <c r="D50" s="21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3:72" s="15" customFormat="1" x14ac:dyDescent="0.25">
      <c r="C51" s="21"/>
      <c r="D51" s="21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3:72" s="15" customFormat="1" x14ac:dyDescent="0.25">
      <c r="C52" s="21"/>
      <c r="D52" s="21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3:72" s="15" customFormat="1" x14ac:dyDescent="0.25">
      <c r="C53" s="21"/>
      <c r="D53" s="21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3:72" s="15" customFormat="1" x14ac:dyDescent="0.25">
      <c r="C54" s="21"/>
      <c r="D54" s="21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3:72" s="15" customFormat="1" x14ac:dyDescent="0.25">
      <c r="C55" s="21"/>
      <c r="D55" s="21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3:72" s="15" customFormat="1" x14ac:dyDescent="0.25">
      <c r="C56" s="21"/>
      <c r="D56" s="21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3:72" s="15" customFormat="1" x14ac:dyDescent="0.25">
      <c r="C57" s="21"/>
      <c r="D57" s="21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3:72" s="15" customFormat="1" x14ac:dyDescent="0.25">
      <c r="C58" s="21"/>
      <c r="D58" s="21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3:72" s="15" customFormat="1" x14ac:dyDescent="0.25">
      <c r="C59" s="21"/>
      <c r="D59" s="21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3:72" s="15" customFormat="1" x14ac:dyDescent="0.25">
      <c r="C60" s="21"/>
      <c r="D60" s="21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3:72" s="15" customFormat="1" x14ac:dyDescent="0.25">
      <c r="C61" s="21"/>
      <c r="D61" s="21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3:72" s="15" customFormat="1" x14ac:dyDescent="0.25">
      <c r="C62" s="21"/>
      <c r="D62" s="21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3:72" s="15" customFormat="1" x14ac:dyDescent="0.25">
      <c r="C63" s="21"/>
      <c r="D63" s="21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3:72" s="15" customFormat="1" x14ac:dyDescent="0.25">
      <c r="C64" s="21"/>
      <c r="D64" s="21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3:72" s="15" customFormat="1" x14ac:dyDescent="0.25">
      <c r="C65" s="21"/>
      <c r="D65" s="21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3:72" s="15" customFormat="1" x14ac:dyDescent="0.25">
      <c r="C66" s="21"/>
      <c r="D66" s="21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3:72" s="15" customFormat="1" x14ac:dyDescent="0.25">
      <c r="C67" s="21"/>
      <c r="D67" s="21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3:72" s="15" customFormat="1" x14ac:dyDescent="0.25">
      <c r="C68" s="21"/>
      <c r="D68" s="21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3:72" s="15" customFormat="1" x14ac:dyDescent="0.25">
      <c r="C69" s="21"/>
      <c r="D69" s="21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3:72" s="15" customFormat="1" x14ac:dyDescent="0.25">
      <c r="C70" s="21"/>
      <c r="D70" s="21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3:72" s="15" customFormat="1" x14ac:dyDescent="0.25">
      <c r="C71" s="21"/>
      <c r="D71" s="21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3:72" s="15" customFormat="1" x14ac:dyDescent="0.25">
      <c r="C72" s="21"/>
      <c r="D72" s="21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3:72" s="15" customFormat="1" x14ac:dyDescent="0.25">
      <c r="C73" s="21"/>
      <c r="D73" s="21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3:72" s="15" customFormat="1" x14ac:dyDescent="0.25">
      <c r="C74" s="21"/>
      <c r="D74" s="21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3:72" s="15" customFormat="1" x14ac:dyDescent="0.25">
      <c r="C75" s="21"/>
      <c r="D75" s="21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3:72" s="15" customFormat="1" x14ac:dyDescent="0.25">
      <c r="C76" s="21"/>
      <c r="D76" s="21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3:72" s="15" customFormat="1" x14ac:dyDescent="0.25">
      <c r="C77" s="21"/>
      <c r="D77" s="21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3:72" s="15" customFormat="1" x14ac:dyDescent="0.25">
      <c r="C78" s="21"/>
      <c r="D78" s="21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3:72" s="15" customFormat="1" x14ac:dyDescent="0.25">
      <c r="C79" s="21"/>
      <c r="D79" s="21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3:72" s="15" customFormat="1" x14ac:dyDescent="0.25">
      <c r="C80" s="21"/>
      <c r="D80" s="21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3:72" s="15" customFormat="1" x14ac:dyDescent="0.25">
      <c r="C81" s="21"/>
      <c r="D81" s="21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3:72" s="15" customFormat="1" x14ac:dyDescent="0.25">
      <c r="C82" s="21"/>
      <c r="D82" s="21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3:72" s="15" customFormat="1" x14ac:dyDescent="0.25">
      <c r="C83" s="21"/>
      <c r="D83" s="21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3:72" s="15" customFormat="1" x14ac:dyDescent="0.25">
      <c r="C84" s="21"/>
      <c r="D84" s="21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3:72" s="15" customFormat="1" x14ac:dyDescent="0.25">
      <c r="C85" s="21"/>
      <c r="D85" s="21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3:72" s="15" customFormat="1" x14ac:dyDescent="0.25">
      <c r="C86" s="21"/>
      <c r="D86" s="21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3:72" s="15" customFormat="1" x14ac:dyDescent="0.25">
      <c r="C87" s="21"/>
      <c r="D87" s="21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3:72" s="15" customFormat="1" x14ac:dyDescent="0.25">
      <c r="C88" s="21"/>
      <c r="D88" s="21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3:72" s="15" customFormat="1" x14ac:dyDescent="0.25">
      <c r="C89" s="21"/>
      <c r="D89" s="21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3:72" s="15" customFormat="1" x14ac:dyDescent="0.25">
      <c r="C90" s="21"/>
      <c r="D90" s="21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3:72" s="15" customFormat="1" x14ac:dyDescent="0.25">
      <c r="C91" s="21"/>
      <c r="D91" s="21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3:72" s="15" customFormat="1" x14ac:dyDescent="0.25">
      <c r="C92" s="21"/>
      <c r="D92" s="21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3:72" s="15" customFormat="1" x14ac:dyDescent="0.25">
      <c r="C93" s="21"/>
      <c r="D93" s="21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3:72" s="15" customFormat="1" x14ac:dyDescent="0.25">
      <c r="C94" s="21"/>
      <c r="D94" s="21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3:72" s="15" customFormat="1" x14ac:dyDescent="0.25">
      <c r="C95" s="21"/>
      <c r="D95" s="21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3:72" s="15" customFormat="1" x14ac:dyDescent="0.25">
      <c r="C96" s="21"/>
      <c r="D96" s="21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3:72" s="15" customFormat="1" x14ac:dyDescent="0.25">
      <c r="C97" s="21"/>
      <c r="D97" s="21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3:72" s="15" customFormat="1" x14ac:dyDescent="0.25">
      <c r="C98" s="21"/>
      <c r="D98" s="21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3:72" s="15" customFormat="1" x14ac:dyDescent="0.25">
      <c r="C99" s="21"/>
      <c r="D99" s="21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3:72" s="15" customFormat="1" x14ac:dyDescent="0.25">
      <c r="C100" s="21"/>
      <c r="D100" s="21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3:72" s="15" customFormat="1" x14ac:dyDescent="0.25">
      <c r="C101" s="21"/>
      <c r="D101" s="21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3:72" s="15" customFormat="1" x14ac:dyDescent="0.25">
      <c r="C102" s="21"/>
      <c r="D102" s="21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3:72" s="15" customFormat="1" x14ac:dyDescent="0.25">
      <c r="C103" s="21"/>
      <c r="D103" s="21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3:72" s="15" customFormat="1" x14ac:dyDescent="0.25">
      <c r="C104" s="21"/>
      <c r="D104" s="21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3:72" s="15" customFormat="1" x14ac:dyDescent="0.25">
      <c r="C105" s="21"/>
      <c r="D105" s="21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3:72" s="15" customFormat="1" x14ac:dyDescent="0.25">
      <c r="C106" s="21"/>
      <c r="D106" s="21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3:72" s="15" customFormat="1" x14ac:dyDescent="0.25">
      <c r="C107" s="21"/>
      <c r="D107" s="21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3:72" s="15" customFormat="1" x14ac:dyDescent="0.25">
      <c r="C108" s="21"/>
      <c r="D108" s="21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3:72" s="15" customFormat="1" x14ac:dyDescent="0.25">
      <c r="C109" s="21"/>
      <c r="D109" s="21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3:72" s="15" customFormat="1" x14ac:dyDescent="0.25">
      <c r="C110" s="21"/>
      <c r="D110" s="21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3:72" s="15" customFormat="1" x14ac:dyDescent="0.25">
      <c r="C111" s="21"/>
      <c r="D111" s="21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3:72" s="15" customFormat="1" x14ac:dyDescent="0.25">
      <c r="C112" s="21"/>
      <c r="D112" s="21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3:72" s="15" customFormat="1" x14ac:dyDescent="0.25">
      <c r="C113" s="21"/>
      <c r="D113" s="21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3:72" s="15" customFormat="1" x14ac:dyDescent="0.25">
      <c r="C114" s="21"/>
      <c r="D114" s="21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3:72" s="15" customFormat="1" x14ac:dyDescent="0.25">
      <c r="C115" s="21"/>
      <c r="D115" s="21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3:72" s="15" customFormat="1" x14ac:dyDescent="0.25">
      <c r="C116" s="21"/>
      <c r="D116" s="21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3:72" s="15" customFormat="1" x14ac:dyDescent="0.25">
      <c r="C117" s="21"/>
      <c r="D117" s="21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3:72" s="15" customFormat="1" x14ac:dyDescent="0.25">
      <c r="C118" s="21"/>
      <c r="D118" s="21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3:72" s="15" customFormat="1" x14ac:dyDescent="0.25">
      <c r="C119" s="21"/>
      <c r="D119" s="21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3:72" s="15" customFormat="1" x14ac:dyDescent="0.25">
      <c r="C120" s="21"/>
      <c r="D120" s="21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3:72" s="15" customFormat="1" x14ac:dyDescent="0.25">
      <c r="C121" s="21"/>
      <c r="D121" s="21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3:72" s="15" customFormat="1" x14ac:dyDescent="0.25">
      <c r="C122" s="21"/>
      <c r="D122" s="21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3:72" s="15" customFormat="1" x14ac:dyDescent="0.25">
      <c r="C123" s="21"/>
      <c r="D123" s="21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3:72" s="15" customFormat="1" x14ac:dyDescent="0.25">
      <c r="C124" s="21"/>
      <c r="D124" s="21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3:72" s="15" customFormat="1" x14ac:dyDescent="0.25">
      <c r="C125" s="21"/>
      <c r="D125" s="21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3:72" s="15" customFormat="1" x14ac:dyDescent="0.25">
      <c r="C126" s="21"/>
      <c r="D126" s="21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3:72" s="15" customFormat="1" x14ac:dyDescent="0.25">
      <c r="C127" s="21"/>
      <c r="D127" s="21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3:72" s="15" customFormat="1" x14ac:dyDescent="0.25">
      <c r="C128" s="21"/>
      <c r="D128" s="21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3:72" s="15" customFormat="1" x14ac:dyDescent="0.25">
      <c r="C129" s="21"/>
      <c r="D129" s="21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3:72" s="15" customFormat="1" x14ac:dyDescent="0.25">
      <c r="C130" s="21"/>
      <c r="D130" s="21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3:72" s="15" customFormat="1" x14ac:dyDescent="0.25">
      <c r="C131" s="21"/>
      <c r="D131" s="21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  <row r="132" spans="3:72" s="15" customFormat="1" x14ac:dyDescent="0.25">
      <c r="C132" s="21"/>
      <c r="D132" s="21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  <row r="133" spans="3:72" s="15" customFormat="1" x14ac:dyDescent="0.25">
      <c r="C133" s="21"/>
      <c r="D133" s="21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</sheetData>
  <mergeCells count="8">
    <mergeCell ref="BJ4:BQ4"/>
    <mergeCell ref="AZ9:BD9"/>
    <mergeCell ref="U4:AO4"/>
    <mergeCell ref="AP4:AQ4"/>
    <mergeCell ref="AR4:AS4"/>
    <mergeCell ref="AT4:AY4"/>
    <mergeCell ref="AZ4:BD4"/>
    <mergeCell ref="BE4:BI4"/>
  </mergeCells>
  <conditionalFormatting sqref="G28:H28">
    <cfRule type="containsText" dxfId="1" priority="1" operator="containsText" text="gasket">
      <formula>NOT(ISERROR(SEARCH("gasket",G28)))</formula>
    </cfRule>
    <cfRule type="containsText" dxfId="0" priority="2" operator="containsText" text="gauge">
      <formula>NOT(ISERROR(SEARCH("gauge",G28)))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T130"/>
  <sheetViews>
    <sheetView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B8" sqref="B8"/>
    </sheetView>
  </sheetViews>
  <sheetFormatPr defaultColWidth="9.140625" defaultRowHeight="15" x14ac:dyDescent="0.25"/>
  <cols>
    <col min="1" max="1" width="9.7109375" style="4" hidden="1" customWidth="1"/>
    <col min="2" max="2" width="10.28515625" style="4" customWidth="1"/>
    <col min="3" max="3" width="12.28515625" style="21" bestFit="1" customWidth="1"/>
    <col min="4" max="4" width="8.7109375" style="21" bestFit="1" customWidth="1"/>
    <col min="5" max="5" width="29" style="4" customWidth="1"/>
    <col min="6" max="6" width="51" style="15" customWidth="1"/>
    <col min="7" max="7" width="22.7109375" style="4" customWidth="1"/>
    <col min="8" max="8" width="18.4257812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12" style="4" customWidth="1"/>
    <col min="42" max="42" width="13" style="4" customWidth="1"/>
    <col min="43" max="43" width="9.140625" style="4" customWidth="1"/>
    <col min="44" max="44" width="14.85546875" style="4" customWidth="1"/>
    <col min="45" max="45" width="17.140625" style="4" customWidth="1"/>
    <col min="46" max="46" width="11.5703125" style="4" bestFit="1" customWidth="1"/>
    <col min="47" max="47" width="11.140625" style="4" bestFit="1" customWidth="1"/>
    <col min="48" max="48" width="11.42578125" style="4" bestFit="1" customWidth="1"/>
    <col min="49" max="49" width="8.28515625" style="4" bestFit="1" customWidth="1"/>
    <col min="50" max="50" width="11.42578125" style="4" bestFit="1" customWidth="1"/>
    <col min="51" max="51" width="8.85546875" style="4" bestFit="1" customWidth="1"/>
    <col min="52" max="52" width="7" style="4" bestFit="1" customWidth="1"/>
    <col min="53" max="53" width="17.85546875" style="4" customWidth="1"/>
    <col min="54" max="54" width="6.85546875" style="4" bestFit="1" customWidth="1"/>
    <col min="55" max="55" width="6.7109375" style="4" customWidth="1"/>
    <col min="56" max="56" width="7.5703125" style="4" bestFit="1" customWidth="1"/>
    <col min="57" max="57" width="7" style="4" bestFit="1" customWidth="1"/>
    <col min="58" max="58" width="20.140625" style="4" bestFit="1" customWidth="1"/>
    <col min="59" max="59" width="6.85546875" style="4" bestFit="1" customWidth="1"/>
    <col min="60" max="60" width="5.5703125" style="4" bestFit="1" customWidth="1"/>
    <col min="61" max="61" width="7.5703125" style="4" bestFit="1" customWidth="1"/>
    <col min="62" max="62" width="17.85546875" style="4" customWidth="1"/>
    <col min="63" max="63" width="10.42578125" style="4" bestFit="1" customWidth="1"/>
    <col min="64" max="64" width="12" style="4" bestFit="1" customWidth="1"/>
    <col min="65" max="66" width="14.42578125" style="4" bestFit="1" customWidth="1"/>
    <col min="67" max="67" width="13.28515625" style="4" bestFit="1" customWidth="1"/>
    <col min="68" max="68" width="16.28515625" style="4" bestFit="1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16384" width="9.140625" style="4"/>
  </cols>
  <sheetData>
    <row r="2" spans="1:72" ht="23.25" x14ac:dyDescent="0.25">
      <c r="F2" s="2" t="s">
        <v>184</v>
      </c>
      <c r="H2" s="2"/>
      <c r="I2" s="3"/>
    </row>
    <row r="3" spans="1:72" ht="20.25" x14ac:dyDescent="0.25">
      <c r="F3" s="55">
        <v>42109</v>
      </c>
    </row>
    <row r="4" spans="1:72" ht="15.75" customHeight="1" x14ac:dyDescent="0.25">
      <c r="E4" s="16" t="s">
        <v>17</v>
      </c>
      <c r="G4" s="65"/>
      <c r="H4" s="65"/>
      <c r="I4" s="66" t="s">
        <v>15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209" t="s">
        <v>16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 t="s">
        <v>85</v>
      </c>
      <c r="AQ4" s="210"/>
      <c r="AR4" s="211" t="s">
        <v>19</v>
      </c>
      <c r="AS4" s="211"/>
      <c r="AT4" s="212" t="s">
        <v>91</v>
      </c>
      <c r="AU4" s="212"/>
      <c r="AV4" s="212"/>
      <c r="AW4" s="212"/>
      <c r="AX4" s="212"/>
      <c r="AY4" s="212"/>
      <c r="AZ4" s="213" t="s">
        <v>22</v>
      </c>
      <c r="BA4" s="213"/>
      <c r="BB4" s="213"/>
      <c r="BC4" s="213"/>
      <c r="BD4" s="213"/>
      <c r="BE4" s="208" t="s">
        <v>28</v>
      </c>
      <c r="BF4" s="208"/>
      <c r="BG4" s="208"/>
      <c r="BH4" s="208"/>
      <c r="BI4" s="208"/>
      <c r="BJ4" s="207" t="s">
        <v>34</v>
      </c>
      <c r="BK4" s="207"/>
      <c r="BL4" s="207"/>
      <c r="BM4" s="207"/>
      <c r="BN4" s="207"/>
      <c r="BO4" s="207"/>
      <c r="BP4" s="207"/>
      <c r="BQ4" s="207"/>
    </row>
    <row r="5" spans="1:72" x14ac:dyDescent="0.25">
      <c r="A5" s="156" t="s">
        <v>293</v>
      </c>
      <c r="B5" s="156" t="s">
        <v>294</v>
      </c>
      <c r="C5" s="17" t="s">
        <v>0</v>
      </c>
      <c r="D5" s="22" t="s">
        <v>83</v>
      </c>
      <c r="E5" s="17" t="s">
        <v>2</v>
      </c>
      <c r="F5" s="5" t="s">
        <v>1</v>
      </c>
      <c r="G5" s="6" t="s">
        <v>3</v>
      </c>
      <c r="H5" s="6" t="s">
        <v>7</v>
      </c>
      <c r="I5" s="6" t="s">
        <v>4</v>
      </c>
      <c r="J5" s="6" t="s">
        <v>6</v>
      </c>
      <c r="K5" s="6" t="s">
        <v>5</v>
      </c>
      <c r="L5" s="6" t="s">
        <v>56</v>
      </c>
      <c r="M5" s="6" t="s">
        <v>54</v>
      </c>
      <c r="N5" s="6" t="s">
        <v>57</v>
      </c>
      <c r="O5" s="6" t="s">
        <v>58</v>
      </c>
      <c r="P5" s="6" t="s">
        <v>59</v>
      </c>
      <c r="Q5" s="6" t="s">
        <v>60</v>
      </c>
      <c r="R5" s="6" t="s">
        <v>61</v>
      </c>
      <c r="S5" s="6" t="s">
        <v>80</v>
      </c>
      <c r="T5" s="6" t="s">
        <v>61</v>
      </c>
      <c r="U5" s="7" t="s">
        <v>8</v>
      </c>
      <c r="V5" s="7" t="s">
        <v>47</v>
      </c>
      <c r="W5" s="7" t="s">
        <v>9</v>
      </c>
      <c r="X5" s="7" t="s">
        <v>36</v>
      </c>
      <c r="Y5" s="7" t="s">
        <v>10</v>
      </c>
      <c r="Z5" s="7" t="s">
        <v>48</v>
      </c>
      <c r="AA5" s="7" t="s">
        <v>11</v>
      </c>
      <c r="AB5" s="7" t="s">
        <v>53</v>
      </c>
      <c r="AC5" s="7" t="s">
        <v>12</v>
      </c>
      <c r="AD5" s="7" t="s">
        <v>52</v>
      </c>
      <c r="AE5" s="7" t="s">
        <v>49</v>
      </c>
      <c r="AF5" s="7" t="s">
        <v>14</v>
      </c>
      <c r="AG5" s="7" t="s">
        <v>37</v>
      </c>
      <c r="AH5" s="7" t="s">
        <v>50</v>
      </c>
      <c r="AI5" s="7" t="s">
        <v>51</v>
      </c>
      <c r="AJ5" s="7" t="s">
        <v>46</v>
      </c>
      <c r="AK5" s="7" t="s">
        <v>38</v>
      </c>
      <c r="AL5" s="7" t="s">
        <v>86</v>
      </c>
      <c r="AM5" s="7" t="s">
        <v>39</v>
      </c>
      <c r="AN5" s="7" t="s">
        <v>40</v>
      </c>
      <c r="AO5" s="7" t="s">
        <v>13</v>
      </c>
      <c r="AP5" s="11" t="s">
        <v>20</v>
      </c>
      <c r="AQ5" s="11" t="s">
        <v>21</v>
      </c>
      <c r="AR5" s="8" t="s">
        <v>18</v>
      </c>
      <c r="AS5" s="8" t="s">
        <v>55</v>
      </c>
      <c r="AT5" s="70" t="s">
        <v>23</v>
      </c>
      <c r="AU5" s="70" t="s">
        <v>24</v>
      </c>
      <c r="AV5" s="70" t="s">
        <v>25</v>
      </c>
      <c r="AW5" s="70" t="s">
        <v>92</v>
      </c>
      <c r="AX5" s="70" t="s">
        <v>25</v>
      </c>
      <c r="AY5" s="70" t="s">
        <v>93</v>
      </c>
      <c r="AZ5" s="9" t="s">
        <v>23</v>
      </c>
      <c r="BA5" s="9" t="s">
        <v>24</v>
      </c>
      <c r="BB5" s="9" t="s">
        <v>25</v>
      </c>
      <c r="BC5" s="9" t="s">
        <v>26</v>
      </c>
      <c r="BD5" s="9" t="s">
        <v>27</v>
      </c>
      <c r="BE5" s="10" t="s">
        <v>23</v>
      </c>
      <c r="BF5" s="10" t="s">
        <v>24</v>
      </c>
      <c r="BG5" s="10" t="s">
        <v>25</v>
      </c>
      <c r="BH5" s="10" t="s">
        <v>26</v>
      </c>
      <c r="BI5" s="10" t="s">
        <v>27</v>
      </c>
      <c r="BJ5" s="11" t="s">
        <v>45</v>
      </c>
      <c r="BK5" s="12" t="s">
        <v>29</v>
      </c>
      <c r="BL5" s="12" t="s">
        <v>30</v>
      </c>
      <c r="BM5" s="12" t="s">
        <v>31</v>
      </c>
      <c r="BN5" s="12" t="s">
        <v>32</v>
      </c>
      <c r="BO5" s="12" t="s">
        <v>33</v>
      </c>
      <c r="BP5" s="12" t="s">
        <v>35</v>
      </c>
      <c r="BQ5" s="12" t="s">
        <v>44</v>
      </c>
      <c r="BR5" s="12" t="s">
        <v>41</v>
      </c>
      <c r="BS5" s="12" t="s">
        <v>42</v>
      </c>
      <c r="BT5" s="12" t="s">
        <v>43</v>
      </c>
    </row>
    <row r="6" spans="1:72" s="1" customFormat="1" ht="15" customHeight="1" x14ac:dyDescent="0.25">
      <c r="A6" s="157">
        <v>42109</v>
      </c>
      <c r="B6" s="164" t="s">
        <v>36</v>
      </c>
      <c r="C6" s="162" t="s">
        <v>384</v>
      </c>
      <c r="D6" s="73" t="s">
        <v>302</v>
      </c>
      <c r="E6" s="73" t="s">
        <v>156</v>
      </c>
      <c r="F6" s="150" t="s">
        <v>397</v>
      </c>
      <c r="G6" s="188" t="s">
        <v>72</v>
      </c>
      <c r="H6" s="52" t="s">
        <v>388</v>
      </c>
      <c r="I6" s="118" t="s">
        <v>51</v>
      </c>
      <c r="J6" s="118" t="s">
        <v>389</v>
      </c>
      <c r="K6" s="44"/>
      <c r="L6" s="45"/>
      <c r="M6" s="45"/>
      <c r="N6" s="45"/>
      <c r="O6" s="69"/>
      <c r="P6" s="69"/>
      <c r="Q6" s="69"/>
      <c r="R6" s="69"/>
      <c r="S6" s="69"/>
      <c r="T6" s="69"/>
      <c r="U6" s="44"/>
      <c r="V6" s="68"/>
      <c r="W6" s="44"/>
      <c r="X6" s="68"/>
      <c r="Y6" s="140"/>
      <c r="Z6" s="68"/>
      <c r="AA6" s="44"/>
      <c r="AB6" s="161" t="s">
        <v>390</v>
      </c>
      <c r="AC6" s="118"/>
      <c r="AD6" s="161" t="s">
        <v>391</v>
      </c>
      <c r="AE6" s="118"/>
      <c r="AF6" s="118"/>
      <c r="AG6" s="118"/>
      <c r="AH6" s="118"/>
      <c r="AI6" s="118" t="s">
        <v>389</v>
      </c>
      <c r="AJ6" s="118"/>
      <c r="AK6" s="140" t="s">
        <v>392</v>
      </c>
      <c r="AL6" s="118"/>
      <c r="AM6" s="118"/>
      <c r="AN6" s="118" t="s">
        <v>393</v>
      </c>
      <c r="AO6" s="44"/>
      <c r="AP6" s="181">
        <v>16.350000000000001</v>
      </c>
      <c r="AQ6" s="42">
        <f>AP6/0.444</f>
        <v>36.82432432432433</v>
      </c>
      <c r="AR6" s="95" t="s">
        <v>385</v>
      </c>
      <c r="AS6" s="96">
        <v>10038568742381</v>
      </c>
      <c r="AT6" s="183">
        <v>9.65</v>
      </c>
      <c r="AU6" s="183">
        <v>7.8</v>
      </c>
      <c r="AV6" s="183">
        <v>2.2400000000000002</v>
      </c>
      <c r="AW6" s="97"/>
      <c r="AX6" s="97"/>
      <c r="AY6" s="97"/>
      <c r="AZ6" s="74">
        <f>9.75+(0.018*2)</f>
        <v>9.7859999999999996</v>
      </c>
      <c r="BA6" s="74">
        <f>2.31+(0.018*2)</f>
        <v>2.3460000000000001</v>
      </c>
      <c r="BB6" s="74">
        <f>9.75+(0.018*4)</f>
        <v>9.8219999999999992</v>
      </c>
      <c r="BC6" s="184">
        <f t="shared" ref="BC6:BC7" si="0">(BB6*BA6*AZ6)/1728</f>
        <v>0.13049365962499998</v>
      </c>
      <c r="BD6" s="74">
        <f>0.54+0.1</f>
        <v>0.64</v>
      </c>
      <c r="BE6" s="185">
        <f>14.25+(0.125*2)</f>
        <v>14.5</v>
      </c>
      <c r="BF6" s="185">
        <f>9.87+(0.125*2)</f>
        <v>10.119999999999999</v>
      </c>
      <c r="BG6" s="185">
        <f>9.87+(0.125*4)</f>
        <v>10.37</v>
      </c>
      <c r="BH6" s="184">
        <f>(BG6*BF6*BE6)/1728</f>
        <v>0.88060983796296288</v>
      </c>
      <c r="BI6" s="74">
        <f>(BD6*6)+0.25</f>
        <v>4.09</v>
      </c>
      <c r="BJ6" s="186" t="s">
        <v>68</v>
      </c>
      <c r="BK6" s="186">
        <v>6</v>
      </c>
      <c r="BL6" s="186">
        <v>11</v>
      </c>
      <c r="BM6" s="186">
        <v>3</v>
      </c>
      <c r="BN6" s="49">
        <f>BK6*BL6*BM6</f>
        <v>198</v>
      </c>
      <c r="BO6" s="49">
        <f>(BI6*BL6*BM6)+50</f>
        <v>184.96999999999997</v>
      </c>
      <c r="BP6" s="186" t="s">
        <v>217</v>
      </c>
      <c r="BQ6" s="49" t="s">
        <v>67</v>
      </c>
      <c r="BR6" s="71"/>
      <c r="BS6" s="71"/>
      <c r="BT6" s="71"/>
    </row>
    <row r="7" spans="1:72" s="1" customFormat="1" x14ac:dyDescent="0.25">
      <c r="A7" s="157">
        <v>42109</v>
      </c>
      <c r="B7" s="165" t="s">
        <v>14</v>
      </c>
      <c r="C7" s="163" t="s">
        <v>384</v>
      </c>
      <c r="D7" s="73" t="s">
        <v>302</v>
      </c>
      <c r="E7" s="73" t="s">
        <v>156</v>
      </c>
      <c r="F7" s="150" t="s">
        <v>397</v>
      </c>
      <c r="G7" s="188" t="s">
        <v>72</v>
      </c>
      <c r="H7" s="52" t="s">
        <v>388</v>
      </c>
      <c r="I7" s="118" t="s">
        <v>51</v>
      </c>
      <c r="J7" s="118" t="s">
        <v>389</v>
      </c>
      <c r="K7" s="44"/>
      <c r="L7" s="45"/>
      <c r="M7" s="45"/>
      <c r="N7" s="45"/>
      <c r="O7" s="69"/>
      <c r="P7" s="69"/>
      <c r="Q7" s="69"/>
      <c r="R7" s="69"/>
      <c r="S7" s="69"/>
      <c r="T7" s="69"/>
      <c r="U7" s="44"/>
      <c r="V7" s="68"/>
      <c r="W7" s="44"/>
      <c r="X7" s="68"/>
      <c r="Y7" s="140"/>
      <c r="Z7" s="68"/>
      <c r="AA7" s="44"/>
      <c r="AB7" s="161" t="s">
        <v>390</v>
      </c>
      <c r="AC7" s="118"/>
      <c r="AD7" s="161" t="s">
        <v>391</v>
      </c>
      <c r="AE7" s="118"/>
      <c r="AF7" s="118"/>
      <c r="AG7" s="118"/>
      <c r="AH7" s="118"/>
      <c r="AI7" s="118" t="s">
        <v>389</v>
      </c>
      <c r="AJ7" s="118"/>
      <c r="AK7" s="140" t="s">
        <v>392</v>
      </c>
      <c r="AL7" s="118"/>
      <c r="AM7" s="118"/>
      <c r="AN7" s="118" t="s">
        <v>393</v>
      </c>
      <c r="AO7" s="44"/>
      <c r="AP7" s="181">
        <v>16.350000000000001</v>
      </c>
      <c r="AQ7" s="42">
        <f>AP7/0.444</f>
        <v>36.82432432432433</v>
      </c>
      <c r="AR7" s="95" t="s">
        <v>386</v>
      </c>
      <c r="AS7" s="96">
        <v>10038568316032</v>
      </c>
      <c r="AT7" s="183">
        <v>9.65</v>
      </c>
      <c r="AU7" s="183">
        <v>7.8</v>
      </c>
      <c r="AV7" s="183">
        <v>2.2400000000000002</v>
      </c>
      <c r="AW7" s="97"/>
      <c r="AX7" s="97"/>
      <c r="AY7" s="97"/>
      <c r="AZ7" s="74">
        <f>9.75+(0.018*2)</f>
        <v>9.7859999999999996</v>
      </c>
      <c r="BA7" s="74">
        <f>2.31+(0.018*2)</f>
        <v>2.3460000000000001</v>
      </c>
      <c r="BB7" s="74">
        <f>9.75+(0.018*4)</f>
        <v>9.8219999999999992</v>
      </c>
      <c r="BC7" s="184">
        <f t="shared" si="0"/>
        <v>0.13049365962499998</v>
      </c>
      <c r="BD7" s="74">
        <f>0.54+0.1</f>
        <v>0.64</v>
      </c>
      <c r="BE7" s="185">
        <f>14.25+(0.125*2)</f>
        <v>14.5</v>
      </c>
      <c r="BF7" s="185">
        <f>9.87+(0.125*2)</f>
        <v>10.119999999999999</v>
      </c>
      <c r="BG7" s="185">
        <f>9.87+(0.125*4)</f>
        <v>10.37</v>
      </c>
      <c r="BH7" s="184">
        <f>(BG7*BF7*BE7)/1728</f>
        <v>0.88060983796296288</v>
      </c>
      <c r="BI7" s="74">
        <f>(BD7*6)+0.25</f>
        <v>4.09</v>
      </c>
      <c r="BJ7" s="186" t="s">
        <v>68</v>
      </c>
      <c r="BK7" s="186">
        <v>6</v>
      </c>
      <c r="BL7" s="186">
        <v>11</v>
      </c>
      <c r="BM7" s="186">
        <v>3</v>
      </c>
      <c r="BN7" s="49">
        <f>BK7*BL7*BM7</f>
        <v>198</v>
      </c>
      <c r="BO7" s="49">
        <f>(BI7*BL7*BM7)+50</f>
        <v>184.96999999999997</v>
      </c>
      <c r="BP7" s="186" t="s">
        <v>217</v>
      </c>
      <c r="BQ7" s="49" t="s">
        <v>67</v>
      </c>
      <c r="BR7" s="71"/>
      <c r="BS7" s="71"/>
      <c r="BT7" s="71"/>
    </row>
    <row r="8" spans="1:72" s="1" customFormat="1" ht="30" x14ac:dyDescent="0.25">
      <c r="A8" s="157">
        <v>42109</v>
      </c>
      <c r="B8" s="159" t="s">
        <v>14</v>
      </c>
      <c r="C8" s="163" t="s">
        <v>383</v>
      </c>
      <c r="D8" s="73" t="s">
        <v>73</v>
      </c>
      <c r="E8" s="73" t="s">
        <v>155</v>
      </c>
      <c r="F8" s="150" t="s">
        <v>396</v>
      </c>
      <c r="G8" s="175" t="s">
        <v>66</v>
      </c>
      <c r="H8" s="175" t="s">
        <v>394</v>
      </c>
      <c r="I8" s="175" t="s">
        <v>66</v>
      </c>
      <c r="J8" s="175" t="s">
        <v>395</v>
      </c>
      <c r="K8" s="44"/>
      <c r="L8" s="45"/>
      <c r="M8" s="45"/>
      <c r="N8" s="45"/>
      <c r="O8" s="69"/>
      <c r="P8" s="69"/>
      <c r="Q8" s="69"/>
      <c r="R8" s="69"/>
      <c r="S8" s="69"/>
      <c r="T8" s="69"/>
      <c r="U8" s="44" t="s">
        <v>398</v>
      </c>
      <c r="V8" s="68"/>
      <c r="W8" s="44"/>
      <c r="X8" s="68"/>
      <c r="Y8" s="140"/>
      <c r="Z8" s="68" t="s">
        <v>399</v>
      </c>
      <c r="AA8" s="44" t="s">
        <v>400</v>
      </c>
      <c r="AB8" s="44" t="s">
        <v>401</v>
      </c>
      <c r="AC8" s="141"/>
      <c r="AD8" s="57"/>
      <c r="AE8" s="57"/>
      <c r="AF8" s="57"/>
      <c r="AG8" s="57"/>
      <c r="AH8" s="57"/>
      <c r="AI8" s="57"/>
      <c r="AJ8" s="43"/>
      <c r="AK8" s="140"/>
      <c r="AL8" s="57"/>
      <c r="AM8" s="57"/>
      <c r="AN8" s="57"/>
      <c r="AO8" s="44">
        <v>33753</v>
      </c>
      <c r="AP8" s="173">
        <v>32.479999999999997</v>
      </c>
      <c r="AQ8" s="42">
        <f>AP8/0.444</f>
        <v>73.153153153153141</v>
      </c>
      <c r="AR8" s="95" t="s">
        <v>387</v>
      </c>
      <c r="AS8" s="96">
        <v>10038568738261</v>
      </c>
      <c r="AT8" s="97"/>
      <c r="AU8" s="97"/>
      <c r="AV8" s="97"/>
      <c r="AW8" s="187">
        <v>6.48</v>
      </c>
      <c r="AX8" s="187">
        <v>4.26</v>
      </c>
      <c r="AY8" s="187">
        <v>3.63</v>
      </c>
      <c r="AZ8" s="214" t="s">
        <v>84</v>
      </c>
      <c r="BA8" s="214"/>
      <c r="BB8" s="214"/>
      <c r="BC8" s="214"/>
      <c r="BD8" s="214"/>
      <c r="BE8" s="185">
        <f>13.25+(0.125*2)</f>
        <v>13.5</v>
      </c>
      <c r="BF8" s="185">
        <f>9+(0.125*2)</f>
        <v>9.25</v>
      </c>
      <c r="BG8" s="185">
        <f>6.75+(0.125*4)</f>
        <v>7.25</v>
      </c>
      <c r="BH8" s="184">
        <f t="shared" ref="BH8" si="1">(BG8*BF8*BE8)/1728</f>
        <v>0.52392578125</v>
      </c>
      <c r="BI8" s="74">
        <f>(1.5*6)+0.25</f>
        <v>9.25</v>
      </c>
      <c r="BJ8" s="186" t="s">
        <v>68</v>
      </c>
      <c r="BK8" s="186">
        <v>6</v>
      </c>
      <c r="BL8" s="186">
        <v>13</v>
      </c>
      <c r="BM8" s="186">
        <v>6</v>
      </c>
      <c r="BN8" s="49">
        <f t="shared" ref="BN8" si="2">BK8*BL8*BM8</f>
        <v>468</v>
      </c>
      <c r="BO8" s="49">
        <f t="shared" ref="BO8" si="3">(BI8*BL8*BM8)+50</f>
        <v>771.5</v>
      </c>
      <c r="BP8" s="186" t="s">
        <v>62</v>
      </c>
      <c r="BQ8" s="49" t="s">
        <v>67</v>
      </c>
      <c r="BR8" s="71"/>
      <c r="BS8" s="71"/>
      <c r="BT8" s="71"/>
    </row>
    <row r="9" spans="1:72" s="21" customFormat="1" x14ac:dyDescent="0.25">
      <c r="C9" s="167"/>
      <c r="D9" s="18"/>
      <c r="E9" s="18"/>
      <c r="F9" s="18"/>
      <c r="G9" s="18"/>
      <c r="H9" s="14"/>
      <c r="I9" s="4"/>
      <c r="J9" s="4"/>
      <c r="K9" s="4"/>
      <c r="U9" s="4"/>
      <c r="AA9" s="4"/>
      <c r="AB9" s="4"/>
      <c r="AP9" s="19"/>
      <c r="AQ9" s="20"/>
      <c r="AR9" s="4"/>
      <c r="AZ9" s="13"/>
      <c r="BA9" s="13"/>
      <c r="BB9" s="13"/>
      <c r="BC9" s="4"/>
      <c r="BD9" s="13"/>
      <c r="BE9" s="13"/>
      <c r="BF9" s="13"/>
      <c r="BG9" s="13"/>
      <c r="BH9" s="4"/>
      <c r="BI9" s="13"/>
      <c r="BJ9" s="4"/>
      <c r="BK9" s="4"/>
      <c r="BP9" s="4"/>
      <c r="BQ9" s="14"/>
    </row>
    <row r="10" spans="1:72" ht="7.5" customHeight="1" x14ac:dyDescent="0.25">
      <c r="C10" s="160"/>
      <c r="D10" s="28"/>
      <c r="E10" s="28"/>
      <c r="F10" s="28"/>
      <c r="G10" s="28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/>
      <c r="V10" s="30"/>
      <c r="W10" s="30"/>
      <c r="X10" s="30"/>
      <c r="Y10" s="30"/>
      <c r="Z10" s="30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2"/>
      <c r="AR10" s="29"/>
      <c r="AS10" s="30"/>
      <c r="AT10" s="30"/>
      <c r="AU10" s="30"/>
      <c r="AV10" s="30"/>
      <c r="AW10" s="30"/>
      <c r="AX10" s="30"/>
      <c r="AY10" s="30"/>
      <c r="AZ10" s="33"/>
      <c r="BA10" s="33"/>
      <c r="BB10" s="33"/>
      <c r="BC10" s="29"/>
      <c r="BD10" s="33"/>
      <c r="BE10" s="33"/>
      <c r="BF10" s="33"/>
      <c r="BG10" s="33"/>
      <c r="BH10" s="29"/>
      <c r="BI10" s="33"/>
      <c r="BJ10" s="29"/>
      <c r="BK10" s="29"/>
      <c r="BL10" s="30"/>
      <c r="BM10" s="30"/>
      <c r="BN10" s="30"/>
      <c r="BO10" s="30"/>
      <c r="BP10" s="29"/>
      <c r="BQ10" s="34"/>
      <c r="BR10" s="30"/>
      <c r="BS10" s="21"/>
      <c r="BT10" s="21"/>
    </row>
    <row r="11" spans="1:72" ht="7.5" customHeight="1" x14ac:dyDescent="0.25">
      <c r="C11" s="15"/>
      <c r="D11" s="18"/>
      <c r="E11" s="18"/>
      <c r="F11" s="18"/>
      <c r="G11" s="18"/>
      <c r="H11" s="18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V11" s="21"/>
      <c r="W11" s="21"/>
      <c r="X11" s="21"/>
      <c r="Y11" s="21"/>
      <c r="Z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19"/>
      <c r="AQ11" s="20"/>
      <c r="AS11" s="21"/>
      <c r="AT11" s="21"/>
      <c r="AU11" s="21"/>
      <c r="AV11" s="21"/>
      <c r="AW11" s="21"/>
      <c r="AX11" s="21"/>
      <c r="AY11" s="21"/>
      <c r="AZ11" s="13"/>
      <c r="BA11" s="13"/>
      <c r="BB11" s="13"/>
      <c r="BD11" s="13"/>
      <c r="BE11" s="13"/>
      <c r="BF11" s="13"/>
      <c r="BG11" s="13"/>
      <c r="BI11" s="13"/>
      <c r="BL11" s="21"/>
      <c r="BM11" s="21"/>
      <c r="BN11" s="21"/>
      <c r="BO11" s="21"/>
      <c r="BQ11" s="14"/>
      <c r="BR11" s="21"/>
      <c r="BS11" s="21"/>
      <c r="BT11" s="21"/>
    </row>
    <row r="12" spans="1:72" ht="23.25" x14ac:dyDescent="0.25">
      <c r="C12" s="15"/>
      <c r="D12" s="18"/>
      <c r="E12" s="18"/>
      <c r="F12" s="168" t="s">
        <v>215</v>
      </c>
      <c r="H12" s="18"/>
      <c r="V12" s="21"/>
      <c r="W12" s="21"/>
      <c r="X12" s="21"/>
      <c r="Z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19"/>
      <c r="AQ12" s="20"/>
      <c r="AS12" s="21"/>
      <c r="AT12" s="21"/>
      <c r="AU12" s="21"/>
      <c r="AV12" s="21"/>
      <c r="AW12" s="21"/>
      <c r="AX12" s="21"/>
      <c r="AY12" s="21"/>
      <c r="AZ12" s="13"/>
      <c r="BA12" s="13"/>
      <c r="BB12" s="13"/>
      <c r="BD12" s="13"/>
      <c r="BE12" s="13"/>
      <c r="BF12" s="13"/>
      <c r="BG12" s="13"/>
      <c r="BI12" s="13"/>
      <c r="BL12" s="21"/>
      <c r="BM12" s="21"/>
      <c r="BN12" s="21"/>
      <c r="BO12" s="21"/>
      <c r="BQ12" s="14"/>
      <c r="BR12" s="21"/>
      <c r="BS12" s="21"/>
      <c r="BT12" s="21"/>
    </row>
    <row r="13" spans="1:72" s="21" customFormat="1" x14ac:dyDescent="0.25">
      <c r="C13" s="15"/>
      <c r="D13" s="18"/>
      <c r="E13" s="18"/>
      <c r="F13" s="18"/>
      <c r="G13" s="18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9"/>
      <c r="AQ13" s="20"/>
      <c r="AR13" s="4"/>
      <c r="AS13" s="4"/>
      <c r="AT13" s="4"/>
      <c r="AU13" s="4"/>
      <c r="AV13" s="4"/>
      <c r="AW13" s="4"/>
      <c r="AX13" s="4"/>
      <c r="AY13" s="4"/>
      <c r="AZ13" s="13"/>
      <c r="BA13" s="13"/>
      <c r="BB13" s="13"/>
      <c r="BC13" s="4"/>
      <c r="BD13" s="13"/>
      <c r="BE13" s="13"/>
      <c r="BF13" s="13"/>
      <c r="BG13" s="13"/>
      <c r="BH13" s="4"/>
      <c r="BI13" s="13"/>
      <c r="BJ13" s="4"/>
      <c r="BK13" s="4"/>
      <c r="BL13" s="4"/>
      <c r="BM13" s="4"/>
      <c r="BP13" s="4"/>
      <c r="BQ13" s="14"/>
      <c r="BR13" s="4"/>
      <c r="BS13" s="4"/>
      <c r="BT13" s="4"/>
    </row>
    <row r="14" spans="1:72" x14ac:dyDescent="0.25">
      <c r="C14" s="15"/>
      <c r="D14" s="18"/>
      <c r="E14" s="18"/>
      <c r="F14" s="5" t="s">
        <v>75</v>
      </c>
      <c r="G14" s="7" t="s">
        <v>87</v>
      </c>
      <c r="H14" s="7" t="s">
        <v>76</v>
      </c>
      <c r="AP14" s="19"/>
      <c r="AQ14" s="20"/>
      <c r="AZ14" s="13"/>
      <c r="BA14" s="13"/>
      <c r="BB14" s="13"/>
      <c r="BD14" s="13"/>
      <c r="BE14" s="13"/>
      <c r="BF14" s="13"/>
      <c r="BG14" s="13"/>
      <c r="BI14" s="13"/>
      <c r="BN14" s="21"/>
      <c r="BO14" s="21"/>
      <c r="BQ14" s="14"/>
    </row>
    <row r="15" spans="1:72" x14ac:dyDescent="0.25">
      <c r="A15" s="157"/>
      <c r="B15" s="24"/>
      <c r="C15" s="46"/>
      <c r="D15" s="23"/>
      <c r="E15" s="51"/>
      <c r="F15" s="91"/>
      <c r="G15" s="58"/>
      <c r="H15" s="58"/>
      <c r="AP15" s="19"/>
      <c r="AQ15" s="20"/>
      <c r="AZ15" s="13"/>
      <c r="BA15" s="13"/>
      <c r="BB15" s="13"/>
      <c r="BD15" s="13"/>
      <c r="BE15" s="13"/>
      <c r="BF15" s="13"/>
      <c r="BG15" s="13"/>
      <c r="BI15" s="13"/>
      <c r="BN15" s="21"/>
      <c r="BO15" s="21"/>
      <c r="BQ15" s="14"/>
    </row>
    <row r="16" spans="1:72" x14ac:dyDescent="0.25">
      <c r="A16" s="157"/>
      <c r="B16" s="24"/>
      <c r="C16" s="24"/>
      <c r="D16" s="23"/>
      <c r="E16" s="23"/>
      <c r="F16" s="91"/>
      <c r="G16" s="155"/>
      <c r="H16" s="155"/>
      <c r="AP16" s="19"/>
      <c r="AQ16" s="20"/>
      <c r="AZ16" s="13"/>
      <c r="BA16" s="13"/>
      <c r="BB16" s="13"/>
      <c r="BD16" s="13"/>
      <c r="BE16" s="13"/>
      <c r="BF16" s="13"/>
      <c r="BG16" s="13"/>
      <c r="BI16" s="13"/>
      <c r="BN16" s="21"/>
      <c r="BO16" s="21"/>
      <c r="BQ16" s="14"/>
    </row>
    <row r="17" spans="1:72" x14ac:dyDescent="0.25">
      <c r="B17" s="54"/>
      <c r="C17" s="54"/>
      <c r="D17" s="23"/>
      <c r="E17" s="23"/>
      <c r="F17" s="62"/>
      <c r="G17" s="58"/>
      <c r="H17" s="5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V17" s="21"/>
      <c r="W17" s="21"/>
      <c r="X17" s="21"/>
      <c r="Y17" s="21"/>
      <c r="Z17" s="21"/>
      <c r="AE17" s="21"/>
      <c r="AF17" s="21"/>
      <c r="AG17" s="21"/>
      <c r="AH17" s="21"/>
      <c r="AI17" s="21"/>
      <c r="AJ17" s="21"/>
      <c r="AM17" s="21"/>
      <c r="AN17" s="21"/>
      <c r="AO17" s="21"/>
      <c r="AP17" s="19"/>
      <c r="AQ17" s="20"/>
      <c r="AS17" s="21"/>
      <c r="AT17" s="21"/>
      <c r="AU17" s="21"/>
      <c r="AV17" s="21"/>
      <c r="AW17" s="21"/>
      <c r="AX17" s="21"/>
      <c r="AY17" s="21"/>
      <c r="AZ17" s="13"/>
      <c r="BA17" s="13"/>
      <c r="BB17" s="13"/>
      <c r="BD17" s="13"/>
      <c r="BE17" s="13"/>
      <c r="BF17" s="13"/>
      <c r="BG17" s="13"/>
      <c r="BI17" s="13"/>
      <c r="BL17" s="21"/>
      <c r="BM17" s="21"/>
      <c r="BN17" s="21"/>
      <c r="BO17" s="21"/>
      <c r="BQ17" s="14"/>
      <c r="BR17" s="21"/>
      <c r="BS17" s="21"/>
      <c r="BT17" s="21"/>
    </row>
    <row r="18" spans="1:72" x14ac:dyDescent="0.25">
      <c r="C18" s="15"/>
      <c r="D18" s="18"/>
      <c r="E18" s="18"/>
      <c r="F18" s="18"/>
      <c r="G18" s="18"/>
      <c r="H18" s="18"/>
      <c r="AQ18" s="20"/>
      <c r="AR18" s="21"/>
      <c r="BO18" s="21"/>
      <c r="BQ18" s="14"/>
    </row>
    <row r="19" spans="1:72" ht="7.5" customHeight="1" x14ac:dyDescent="0.25">
      <c r="C19" s="160"/>
      <c r="D19" s="28"/>
      <c r="E19" s="28"/>
      <c r="F19" s="28"/>
      <c r="G19" s="28"/>
      <c r="H19" s="2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V19" s="21"/>
      <c r="W19" s="21"/>
      <c r="X19" s="21"/>
      <c r="Y19" s="21"/>
      <c r="Z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9"/>
      <c r="AQ19" s="20"/>
      <c r="AS19" s="21"/>
      <c r="AT19" s="21"/>
      <c r="AU19" s="21"/>
      <c r="AV19" s="21"/>
      <c r="AW19" s="21"/>
      <c r="AX19" s="21"/>
      <c r="AY19" s="21"/>
      <c r="AZ19" s="13"/>
      <c r="BA19" s="13"/>
      <c r="BB19" s="13"/>
      <c r="BD19" s="13"/>
      <c r="BE19" s="13"/>
      <c r="BF19" s="13"/>
      <c r="BG19" s="13"/>
      <c r="BI19" s="13"/>
      <c r="BL19" s="21"/>
      <c r="BM19" s="21"/>
      <c r="BN19" s="21"/>
      <c r="BO19" s="21"/>
      <c r="BQ19" s="14"/>
      <c r="BR19" s="21"/>
      <c r="BS19" s="21"/>
      <c r="BT19" s="21"/>
    </row>
    <row r="20" spans="1:72" ht="7.5" customHeight="1" x14ac:dyDescent="0.25">
      <c r="C20" s="15"/>
      <c r="D20" s="18"/>
      <c r="E20" s="18"/>
      <c r="F20" s="18"/>
      <c r="G20" s="18"/>
      <c r="H20" s="1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V20" s="21"/>
      <c r="W20" s="21"/>
      <c r="X20" s="21"/>
      <c r="Y20" s="21"/>
      <c r="Z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9"/>
      <c r="AQ20" s="20"/>
      <c r="AS20" s="21"/>
      <c r="AT20" s="21"/>
      <c r="AU20" s="21"/>
      <c r="AV20" s="21"/>
      <c r="AW20" s="21"/>
      <c r="AX20" s="21"/>
      <c r="AY20" s="21"/>
      <c r="AZ20" s="13"/>
      <c r="BA20" s="13"/>
      <c r="BB20" s="13"/>
      <c r="BD20" s="13"/>
      <c r="BE20" s="13"/>
      <c r="BF20" s="13"/>
      <c r="BG20" s="13"/>
      <c r="BI20" s="13"/>
      <c r="BL20" s="21"/>
      <c r="BM20" s="21"/>
      <c r="BN20" s="21"/>
      <c r="BO20" s="21"/>
      <c r="BQ20" s="14"/>
      <c r="BR20" s="21"/>
      <c r="BS20" s="21"/>
      <c r="BT20" s="21"/>
    </row>
    <row r="21" spans="1:72" ht="23.25" x14ac:dyDescent="0.25">
      <c r="C21" s="15"/>
      <c r="D21" s="18"/>
      <c r="E21" s="18"/>
      <c r="F21" s="168" t="s">
        <v>79</v>
      </c>
      <c r="H21" s="18"/>
      <c r="AQ21" s="20"/>
      <c r="AR21" s="21"/>
      <c r="BO21" s="21"/>
      <c r="BQ21" s="14"/>
    </row>
    <row r="22" spans="1:72" ht="16.5" customHeight="1" x14ac:dyDescent="0.25">
      <c r="C22" s="15"/>
      <c r="D22" s="18"/>
      <c r="E22" s="18"/>
      <c r="F22" s="18"/>
      <c r="G22" s="26"/>
      <c r="H22" s="18"/>
      <c r="AQ22" s="20"/>
      <c r="AR22" s="21"/>
      <c r="BO22" s="21"/>
      <c r="BQ22" s="14"/>
    </row>
    <row r="23" spans="1:72" s="15" customFormat="1" x14ac:dyDescent="0.25">
      <c r="C23" s="4"/>
      <c r="D23" s="4"/>
      <c r="E23" s="4"/>
      <c r="F23" s="5" t="s">
        <v>77</v>
      </c>
      <c r="G23" s="39" t="s">
        <v>78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9"/>
      <c r="AQ23" s="20"/>
      <c r="AR23" s="21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1"/>
      <c r="BP23" s="4"/>
      <c r="BQ23" s="4"/>
      <c r="BR23" s="4"/>
      <c r="BS23" s="4"/>
      <c r="BT23" s="4"/>
    </row>
    <row r="24" spans="1:72" ht="36.75" customHeight="1" x14ac:dyDescent="0.25">
      <c r="A24" s="157">
        <v>42109</v>
      </c>
      <c r="B24" s="142"/>
      <c r="C24" s="142"/>
      <c r="D24" s="46"/>
      <c r="E24" s="143"/>
      <c r="F24" s="194" t="s">
        <v>402</v>
      </c>
      <c r="G24" s="35"/>
      <c r="H24" s="102"/>
      <c r="AP24" s="19"/>
      <c r="AQ24" s="20"/>
      <c r="AR24" s="21"/>
      <c r="BO24" s="21"/>
    </row>
    <row r="25" spans="1:72" x14ac:dyDescent="0.25">
      <c r="A25" s="157"/>
      <c r="B25" s="36"/>
      <c r="C25" s="36"/>
      <c r="D25" s="24"/>
      <c r="E25" s="54"/>
      <c r="F25" s="35"/>
      <c r="G25" s="35"/>
      <c r="H25" s="102"/>
      <c r="V25" s="21"/>
      <c r="W25" s="21"/>
      <c r="X25" s="21"/>
      <c r="Z25" s="21"/>
      <c r="AB25" s="21"/>
      <c r="AC25" s="21"/>
      <c r="AE25" s="21"/>
      <c r="AF25" s="21"/>
      <c r="AH25" s="21"/>
      <c r="AI25" s="21"/>
      <c r="AJ25" s="21"/>
      <c r="AK25" s="21"/>
      <c r="AL25" s="21"/>
      <c r="AM25" s="21"/>
      <c r="AN25" s="21"/>
      <c r="AO25" s="21"/>
      <c r="AP25" s="19"/>
      <c r="AQ25" s="20"/>
      <c r="AR25" s="21"/>
      <c r="AS25" s="21"/>
      <c r="AT25" s="21"/>
      <c r="AU25" s="21"/>
      <c r="AV25" s="21"/>
      <c r="AW25" s="21"/>
      <c r="AX25" s="21"/>
      <c r="AY25" s="21"/>
      <c r="BA25" s="21"/>
      <c r="BB25" s="21"/>
      <c r="BC25" s="21"/>
      <c r="BD25" s="21"/>
      <c r="BE25" s="21"/>
      <c r="BF25" s="21"/>
      <c r="BG25" s="21"/>
      <c r="BH25" s="21"/>
      <c r="BI25" s="21"/>
      <c r="BK25" s="21"/>
      <c r="BL25" s="21"/>
      <c r="BM25" s="21"/>
      <c r="BN25" s="21"/>
      <c r="BO25" s="21"/>
      <c r="BP25" s="21"/>
      <c r="BQ25" s="14"/>
      <c r="BR25" s="21"/>
      <c r="BS25" s="21"/>
      <c r="BT25" s="21"/>
    </row>
    <row r="26" spans="1:72" s="15" customFormat="1" x14ac:dyDescent="0.25">
      <c r="A26" s="157"/>
      <c r="B26" s="142"/>
      <c r="C26" s="142"/>
      <c r="D26" s="24"/>
      <c r="E26" s="24"/>
      <c r="F26" s="35"/>
      <c r="G26" s="101"/>
      <c r="H26" s="10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s="15" customFormat="1" x14ac:dyDescent="0.25">
      <c r="A27" s="157"/>
      <c r="B27" s="142"/>
      <c r="C27" s="142"/>
      <c r="D27" s="23"/>
      <c r="E27" s="24"/>
      <c r="F27" s="35"/>
      <c r="G27" s="101"/>
      <c r="H27" s="10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s="15" customFormat="1" x14ac:dyDescent="0.25">
      <c r="C28" s="21"/>
      <c r="D28" s="21"/>
      <c r="E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5" customFormat="1" x14ac:dyDescent="0.25">
      <c r="C29" s="21"/>
      <c r="D29" s="21"/>
      <c r="E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15" customFormat="1" x14ac:dyDescent="0.25">
      <c r="C30" s="21"/>
      <c r="D30" s="21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15" customFormat="1" x14ac:dyDescent="0.25">
      <c r="C31" s="21"/>
      <c r="D31" s="21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5" customFormat="1" x14ac:dyDescent="0.25">
      <c r="C32" s="21"/>
      <c r="D32" s="21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3:72" s="15" customFormat="1" x14ac:dyDescent="0.25">
      <c r="C33" s="21"/>
      <c r="D33" s="21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3:72" s="15" customFormat="1" x14ac:dyDescent="0.25">
      <c r="C34" s="21"/>
      <c r="D34" s="21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3:72" s="15" customFormat="1" x14ac:dyDescent="0.25">
      <c r="C35" s="21"/>
      <c r="D35" s="21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3:72" s="15" customFormat="1" x14ac:dyDescent="0.25">
      <c r="C36" s="21"/>
      <c r="D36" s="21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3:72" s="15" customFormat="1" x14ac:dyDescent="0.25">
      <c r="C37" s="21"/>
      <c r="D37" s="21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3:72" s="15" customFormat="1" x14ac:dyDescent="0.25">
      <c r="C38" s="21"/>
      <c r="D38" s="21"/>
      <c r="E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3:72" s="15" customFormat="1" x14ac:dyDescent="0.25">
      <c r="C39" s="21"/>
      <c r="D39" s="21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3:72" s="15" customFormat="1" x14ac:dyDescent="0.25">
      <c r="C40" s="21"/>
      <c r="D40" s="21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3:72" s="15" customFormat="1" x14ac:dyDescent="0.25">
      <c r="C41" s="21"/>
      <c r="D41" s="21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3:72" s="15" customFormat="1" x14ac:dyDescent="0.25">
      <c r="C42" s="21"/>
      <c r="D42" s="21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3:72" s="15" customFormat="1" x14ac:dyDescent="0.25">
      <c r="C43" s="21"/>
      <c r="D43" s="21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3:72" s="15" customFormat="1" x14ac:dyDescent="0.25">
      <c r="C44" s="21"/>
      <c r="D44" s="21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3:72" s="15" customFormat="1" x14ac:dyDescent="0.25">
      <c r="C45" s="21"/>
      <c r="D45" s="21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3:72" s="15" customFormat="1" x14ac:dyDescent="0.25">
      <c r="C46" s="21"/>
      <c r="D46" s="21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3:72" s="15" customFormat="1" x14ac:dyDescent="0.25">
      <c r="C47" s="21"/>
      <c r="D47" s="21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3:72" s="15" customFormat="1" x14ac:dyDescent="0.25">
      <c r="C48" s="21"/>
      <c r="D48" s="21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3:72" s="15" customFormat="1" x14ac:dyDescent="0.25">
      <c r="C49" s="21"/>
      <c r="D49" s="21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3:72" s="15" customFormat="1" x14ac:dyDescent="0.25">
      <c r="C50" s="21"/>
      <c r="D50" s="21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3:72" s="15" customFormat="1" x14ac:dyDescent="0.25">
      <c r="C51" s="21"/>
      <c r="D51" s="21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3:72" s="15" customFormat="1" x14ac:dyDescent="0.25">
      <c r="C52" s="21"/>
      <c r="D52" s="21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3:72" s="15" customFormat="1" x14ac:dyDescent="0.25">
      <c r="C53" s="21"/>
      <c r="D53" s="21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3:72" s="15" customFormat="1" x14ac:dyDescent="0.25">
      <c r="C54" s="21"/>
      <c r="D54" s="21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3:72" s="15" customFormat="1" x14ac:dyDescent="0.25">
      <c r="C55" s="21"/>
      <c r="D55" s="21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3:72" s="15" customFormat="1" x14ac:dyDescent="0.25">
      <c r="C56" s="21"/>
      <c r="D56" s="21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3:72" s="15" customFormat="1" x14ac:dyDescent="0.25">
      <c r="C57" s="21"/>
      <c r="D57" s="21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3:72" s="15" customFormat="1" x14ac:dyDescent="0.25">
      <c r="C58" s="21"/>
      <c r="D58" s="21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3:72" s="15" customFormat="1" x14ac:dyDescent="0.25">
      <c r="C59" s="21"/>
      <c r="D59" s="21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3:72" s="15" customFormat="1" x14ac:dyDescent="0.25">
      <c r="C60" s="21"/>
      <c r="D60" s="21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3:72" s="15" customFormat="1" x14ac:dyDescent="0.25">
      <c r="C61" s="21"/>
      <c r="D61" s="21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3:72" s="15" customFormat="1" x14ac:dyDescent="0.25">
      <c r="C62" s="21"/>
      <c r="D62" s="21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3:72" s="15" customFormat="1" x14ac:dyDescent="0.25">
      <c r="C63" s="21"/>
      <c r="D63" s="21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3:72" s="15" customFormat="1" x14ac:dyDescent="0.25">
      <c r="C64" s="21"/>
      <c r="D64" s="21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3:72" s="15" customFormat="1" x14ac:dyDescent="0.25">
      <c r="C65" s="21"/>
      <c r="D65" s="21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3:72" s="15" customFormat="1" x14ac:dyDescent="0.25">
      <c r="C66" s="21"/>
      <c r="D66" s="21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3:72" s="15" customFormat="1" x14ac:dyDescent="0.25">
      <c r="C67" s="21"/>
      <c r="D67" s="21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3:72" s="15" customFormat="1" x14ac:dyDescent="0.25">
      <c r="C68" s="21"/>
      <c r="D68" s="21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3:72" s="15" customFormat="1" x14ac:dyDescent="0.25">
      <c r="C69" s="21"/>
      <c r="D69" s="21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3:72" s="15" customFormat="1" x14ac:dyDescent="0.25">
      <c r="C70" s="21"/>
      <c r="D70" s="21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3:72" s="15" customFormat="1" x14ac:dyDescent="0.25">
      <c r="C71" s="21"/>
      <c r="D71" s="21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3:72" s="15" customFormat="1" x14ac:dyDescent="0.25">
      <c r="C72" s="21"/>
      <c r="D72" s="21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3:72" s="15" customFormat="1" x14ac:dyDescent="0.25">
      <c r="C73" s="21"/>
      <c r="D73" s="21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3:72" s="15" customFormat="1" x14ac:dyDescent="0.25">
      <c r="C74" s="21"/>
      <c r="D74" s="21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3:72" s="15" customFormat="1" x14ac:dyDescent="0.25">
      <c r="C75" s="21"/>
      <c r="D75" s="21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3:72" s="15" customFormat="1" x14ac:dyDescent="0.25">
      <c r="C76" s="21"/>
      <c r="D76" s="21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3:72" s="15" customFormat="1" x14ac:dyDescent="0.25">
      <c r="C77" s="21"/>
      <c r="D77" s="21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3:72" s="15" customFormat="1" x14ac:dyDescent="0.25">
      <c r="C78" s="21"/>
      <c r="D78" s="21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3:72" s="15" customFormat="1" x14ac:dyDescent="0.25">
      <c r="C79" s="21"/>
      <c r="D79" s="21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3:72" s="15" customFormat="1" x14ac:dyDescent="0.25">
      <c r="C80" s="21"/>
      <c r="D80" s="21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3:72" s="15" customFormat="1" x14ac:dyDescent="0.25">
      <c r="C81" s="21"/>
      <c r="D81" s="21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3:72" s="15" customFormat="1" x14ac:dyDescent="0.25">
      <c r="C82" s="21"/>
      <c r="D82" s="21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3:72" s="15" customFormat="1" x14ac:dyDescent="0.25">
      <c r="C83" s="21"/>
      <c r="D83" s="21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3:72" s="15" customFormat="1" x14ac:dyDescent="0.25">
      <c r="C84" s="21"/>
      <c r="D84" s="21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3:72" s="15" customFormat="1" x14ac:dyDescent="0.25">
      <c r="C85" s="21"/>
      <c r="D85" s="21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3:72" s="15" customFormat="1" x14ac:dyDescent="0.25">
      <c r="C86" s="21"/>
      <c r="D86" s="21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3:72" s="15" customFormat="1" x14ac:dyDescent="0.25">
      <c r="C87" s="21"/>
      <c r="D87" s="21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3:72" s="15" customFormat="1" x14ac:dyDescent="0.25">
      <c r="C88" s="21"/>
      <c r="D88" s="21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3:72" s="15" customFormat="1" x14ac:dyDescent="0.25">
      <c r="C89" s="21"/>
      <c r="D89" s="21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3:72" s="15" customFormat="1" x14ac:dyDescent="0.25">
      <c r="C90" s="21"/>
      <c r="D90" s="21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3:72" s="15" customFormat="1" x14ac:dyDescent="0.25">
      <c r="C91" s="21"/>
      <c r="D91" s="21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3:72" s="15" customFormat="1" x14ac:dyDescent="0.25">
      <c r="C92" s="21"/>
      <c r="D92" s="21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3:72" s="15" customFormat="1" x14ac:dyDescent="0.25">
      <c r="C93" s="21"/>
      <c r="D93" s="21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3:72" s="15" customFormat="1" x14ac:dyDescent="0.25">
      <c r="C94" s="21"/>
      <c r="D94" s="21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3:72" s="15" customFormat="1" x14ac:dyDescent="0.25">
      <c r="C95" s="21"/>
      <c r="D95" s="21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3:72" s="15" customFormat="1" x14ac:dyDescent="0.25">
      <c r="C96" s="21"/>
      <c r="D96" s="21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3:72" s="15" customFormat="1" x14ac:dyDescent="0.25">
      <c r="C97" s="21"/>
      <c r="D97" s="21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3:72" s="15" customFormat="1" x14ac:dyDescent="0.25">
      <c r="C98" s="21"/>
      <c r="D98" s="21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3:72" s="15" customFormat="1" x14ac:dyDescent="0.25">
      <c r="C99" s="21"/>
      <c r="D99" s="21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3:72" s="15" customFormat="1" x14ac:dyDescent="0.25">
      <c r="C100" s="21"/>
      <c r="D100" s="21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3:72" s="15" customFormat="1" x14ac:dyDescent="0.25">
      <c r="C101" s="21"/>
      <c r="D101" s="21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3:72" s="15" customFormat="1" x14ac:dyDescent="0.25">
      <c r="C102" s="21"/>
      <c r="D102" s="21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3:72" s="15" customFormat="1" x14ac:dyDescent="0.25">
      <c r="C103" s="21"/>
      <c r="D103" s="21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3:72" s="15" customFormat="1" x14ac:dyDescent="0.25">
      <c r="C104" s="21"/>
      <c r="D104" s="21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3:72" s="15" customFormat="1" x14ac:dyDescent="0.25">
      <c r="C105" s="21"/>
      <c r="D105" s="21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3:72" s="15" customFormat="1" x14ac:dyDescent="0.25">
      <c r="C106" s="21"/>
      <c r="D106" s="21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3:72" s="15" customFormat="1" x14ac:dyDescent="0.25">
      <c r="C107" s="21"/>
      <c r="D107" s="21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3:72" s="15" customFormat="1" x14ac:dyDescent="0.25">
      <c r="C108" s="21"/>
      <c r="D108" s="21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3:72" s="15" customFormat="1" x14ac:dyDescent="0.25">
      <c r="C109" s="21"/>
      <c r="D109" s="21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3:72" s="15" customFormat="1" x14ac:dyDescent="0.25">
      <c r="C110" s="21"/>
      <c r="D110" s="21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3:72" s="15" customFormat="1" x14ac:dyDescent="0.25">
      <c r="C111" s="21"/>
      <c r="D111" s="21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3:72" s="15" customFormat="1" x14ac:dyDescent="0.25">
      <c r="C112" s="21"/>
      <c r="D112" s="21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3:72" s="15" customFormat="1" x14ac:dyDescent="0.25">
      <c r="C113" s="21"/>
      <c r="D113" s="21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3:72" s="15" customFormat="1" x14ac:dyDescent="0.25">
      <c r="C114" s="21"/>
      <c r="D114" s="21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3:72" s="15" customFormat="1" x14ac:dyDescent="0.25">
      <c r="C115" s="21"/>
      <c r="D115" s="21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3:72" s="15" customFormat="1" x14ac:dyDescent="0.25">
      <c r="C116" s="21"/>
      <c r="D116" s="21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3:72" s="15" customFormat="1" x14ac:dyDescent="0.25">
      <c r="C117" s="21"/>
      <c r="D117" s="21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3:72" s="15" customFormat="1" x14ac:dyDescent="0.25">
      <c r="C118" s="21"/>
      <c r="D118" s="21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3:72" s="15" customFormat="1" x14ac:dyDescent="0.25">
      <c r="C119" s="21"/>
      <c r="D119" s="21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3:72" s="15" customFormat="1" x14ac:dyDescent="0.25">
      <c r="C120" s="21"/>
      <c r="D120" s="21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3:72" s="15" customFormat="1" x14ac:dyDescent="0.25">
      <c r="C121" s="21"/>
      <c r="D121" s="21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3:72" s="15" customFormat="1" x14ac:dyDescent="0.25">
      <c r="C122" s="21"/>
      <c r="D122" s="21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3:72" s="15" customFormat="1" x14ac:dyDescent="0.25">
      <c r="C123" s="21"/>
      <c r="D123" s="21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3:72" s="15" customFormat="1" x14ac:dyDescent="0.25">
      <c r="C124" s="21"/>
      <c r="D124" s="21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3:72" s="15" customFormat="1" x14ac:dyDescent="0.25">
      <c r="C125" s="21"/>
      <c r="D125" s="21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3:72" s="15" customFormat="1" x14ac:dyDescent="0.25">
      <c r="C126" s="21"/>
      <c r="D126" s="21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3:72" s="15" customFormat="1" x14ac:dyDescent="0.25">
      <c r="C127" s="21"/>
      <c r="D127" s="21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3:72" s="15" customFormat="1" x14ac:dyDescent="0.25">
      <c r="C128" s="21"/>
      <c r="D128" s="21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3:72" s="15" customFormat="1" x14ac:dyDescent="0.25">
      <c r="C129" s="21"/>
      <c r="D129" s="21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3:72" s="15" customFormat="1" x14ac:dyDescent="0.25">
      <c r="C130" s="21"/>
      <c r="D130" s="21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</sheetData>
  <mergeCells count="8">
    <mergeCell ref="AZ8:BD8"/>
    <mergeCell ref="BJ4:BQ4"/>
    <mergeCell ref="U4:AO4"/>
    <mergeCell ref="AP4:AQ4"/>
    <mergeCell ref="AR4:AS4"/>
    <mergeCell ref="AT4:AY4"/>
    <mergeCell ref="AZ4:BD4"/>
    <mergeCell ref="BE4:BI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T141"/>
  <sheetViews>
    <sheetView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ColWidth="9.140625" defaultRowHeight="15" x14ac:dyDescent="0.25"/>
  <cols>
    <col min="1" max="1" width="9.7109375" style="4" hidden="1" customWidth="1"/>
    <col min="2" max="2" width="10.28515625" style="4" customWidth="1"/>
    <col min="3" max="3" width="12.28515625" style="21" bestFit="1" customWidth="1"/>
    <col min="4" max="4" width="8.7109375" style="21" bestFit="1" customWidth="1"/>
    <col min="5" max="5" width="29" style="4" customWidth="1"/>
    <col min="6" max="6" width="51" style="15" customWidth="1"/>
    <col min="7" max="7" width="22.7109375" style="4" customWidth="1"/>
    <col min="8" max="8" width="18.4257812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12" style="4" customWidth="1"/>
    <col min="42" max="42" width="13" style="4" customWidth="1"/>
    <col min="43" max="43" width="9.140625" style="4" customWidth="1"/>
    <col min="44" max="44" width="14.85546875" style="4" customWidth="1"/>
    <col min="45" max="45" width="17.140625" style="4" customWidth="1"/>
    <col min="46" max="46" width="11.5703125" style="4" bestFit="1" customWidth="1"/>
    <col min="47" max="47" width="11.140625" style="4" bestFit="1" customWidth="1"/>
    <col min="48" max="48" width="11.42578125" style="4" bestFit="1" customWidth="1"/>
    <col min="49" max="49" width="8.28515625" style="4" bestFit="1" customWidth="1"/>
    <col min="50" max="50" width="11.42578125" style="4" bestFit="1" customWidth="1"/>
    <col min="51" max="51" width="8.85546875" style="4" bestFit="1" customWidth="1"/>
    <col min="52" max="52" width="7" style="4" bestFit="1" customWidth="1"/>
    <col min="53" max="53" width="17.85546875" style="4" customWidth="1"/>
    <col min="54" max="54" width="6.85546875" style="4" bestFit="1" customWidth="1"/>
    <col min="55" max="55" width="6.7109375" style="4" customWidth="1"/>
    <col min="56" max="56" width="7.5703125" style="4" bestFit="1" customWidth="1"/>
    <col min="57" max="57" width="7" style="4" bestFit="1" customWidth="1"/>
    <col min="58" max="58" width="20.140625" style="4" bestFit="1" customWidth="1"/>
    <col min="59" max="59" width="6.85546875" style="4" bestFit="1" customWidth="1"/>
    <col min="60" max="60" width="5.5703125" style="4" bestFit="1" customWidth="1"/>
    <col min="61" max="61" width="7.5703125" style="4" bestFit="1" customWidth="1"/>
    <col min="62" max="62" width="17.85546875" style="4" customWidth="1"/>
    <col min="63" max="63" width="10.42578125" style="4" bestFit="1" customWidth="1"/>
    <col min="64" max="64" width="12" style="4" bestFit="1" customWidth="1"/>
    <col min="65" max="66" width="14.42578125" style="4" bestFit="1" customWidth="1"/>
    <col min="67" max="67" width="13.28515625" style="4" bestFit="1" customWidth="1"/>
    <col min="68" max="68" width="16.28515625" style="4" bestFit="1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16384" width="9.140625" style="4"/>
  </cols>
  <sheetData>
    <row r="2" spans="1:72" ht="23.25" x14ac:dyDescent="0.25">
      <c r="F2" s="2" t="s">
        <v>184</v>
      </c>
      <c r="H2" s="2"/>
      <c r="I2" s="3"/>
    </row>
    <row r="3" spans="1:72" ht="20.25" x14ac:dyDescent="0.25">
      <c r="F3" s="55">
        <v>42083</v>
      </c>
    </row>
    <row r="4" spans="1:72" ht="15.75" customHeight="1" x14ac:dyDescent="0.25">
      <c r="E4" s="16" t="s">
        <v>17</v>
      </c>
      <c r="G4" s="65"/>
      <c r="H4" s="65"/>
      <c r="I4" s="66" t="s">
        <v>15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209" t="s">
        <v>16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 t="s">
        <v>85</v>
      </c>
      <c r="AQ4" s="210"/>
      <c r="AR4" s="211" t="s">
        <v>19</v>
      </c>
      <c r="AS4" s="211"/>
      <c r="AT4" s="212" t="s">
        <v>91</v>
      </c>
      <c r="AU4" s="212"/>
      <c r="AV4" s="212"/>
      <c r="AW4" s="212"/>
      <c r="AX4" s="212"/>
      <c r="AY4" s="212"/>
      <c r="AZ4" s="213" t="s">
        <v>22</v>
      </c>
      <c r="BA4" s="213"/>
      <c r="BB4" s="213"/>
      <c r="BC4" s="213"/>
      <c r="BD4" s="213"/>
      <c r="BE4" s="208" t="s">
        <v>28</v>
      </c>
      <c r="BF4" s="208"/>
      <c r="BG4" s="208"/>
      <c r="BH4" s="208"/>
      <c r="BI4" s="208"/>
      <c r="BJ4" s="207" t="s">
        <v>34</v>
      </c>
      <c r="BK4" s="207"/>
      <c r="BL4" s="207"/>
      <c r="BM4" s="207"/>
      <c r="BN4" s="207"/>
      <c r="BO4" s="207"/>
      <c r="BP4" s="207"/>
      <c r="BQ4" s="207"/>
    </row>
    <row r="5" spans="1:72" x14ac:dyDescent="0.25">
      <c r="A5" s="156" t="s">
        <v>293</v>
      </c>
      <c r="B5" s="156" t="s">
        <v>294</v>
      </c>
      <c r="C5" s="17" t="s">
        <v>0</v>
      </c>
      <c r="D5" s="22" t="s">
        <v>83</v>
      </c>
      <c r="E5" s="17" t="s">
        <v>2</v>
      </c>
      <c r="F5" s="5" t="s">
        <v>1</v>
      </c>
      <c r="G5" s="6" t="s">
        <v>3</v>
      </c>
      <c r="H5" s="6" t="s">
        <v>7</v>
      </c>
      <c r="I5" s="6" t="s">
        <v>4</v>
      </c>
      <c r="J5" s="6" t="s">
        <v>6</v>
      </c>
      <c r="K5" s="6" t="s">
        <v>5</v>
      </c>
      <c r="L5" s="6" t="s">
        <v>56</v>
      </c>
      <c r="M5" s="6" t="s">
        <v>54</v>
      </c>
      <c r="N5" s="6" t="s">
        <v>57</v>
      </c>
      <c r="O5" s="6" t="s">
        <v>58</v>
      </c>
      <c r="P5" s="6" t="s">
        <v>59</v>
      </c>
      <c r="Q5" s="6" t="s">
        <v>60</v>
      </c>
      <c r="R5" s="6" t="s">
        <v>61</v>
      </c>
      <c r="S5" s="6" t="s">
        <v>80</v>
      </c>
      <c r="T5" s="6" t="s">
        <v>61</v>
      </c>
      <c r="U5" s="7" t="s">
        <v>8</v>
      </c>
      <c r="V5" s="7" t="s">
        <v>47</v>
      </c>
      <c r="W5" s="7" t="s">
        <v>9</v>
      </c>
      <c r="X5" s="7" t="s">
        <v>36</v>
      </c>
      <c r="Y5" s="7" t="s">
        <v>10</v>
      </c>
      <c r="Z5" s="7" t="s">
        <v>48</v>
      </c>
      <c r="AA5" s="7" t="s">
        <v>11</v>
      </c>
      <c r="AB5" s="7" t="s">
        <v>53</v>
      </c>
      <c r="AC5" s="7" t="s">
        <v>12</v>
      </c>
      <c r="AD5" s="7" t="s">
        <v>52</v>
      </c>
      <c r="AE5" s="7" t="s">
        <v>49</v>
      </c>
      <c r="AF5" s="7" t="s">
        <v>14</v>
      </c>
      <c r="AG5" s="7" t="s">
        <v>37</v>
      </c>
      <c r="AH5" s="7" t="s">
        <v>50</v>
      </c>
      <c r="AI5" s="7" t="s">
        <v>51</v>
      </c>
      <c r="AJ5" s="7" t="s">
        <v>46</v>
      </c>
      <c r="AK5" s="7" t="s">
        <v>38</v>
      </c>
      <c r="AL5" s="7" t="s">
        <v>86</v>
      </c>
      <c r="AM5" s="7" t="s">
        <v>39</v>
      </c>
      <c r="AN5" s="7" t="s">
        <v>40</v>
      </c>
      <c r="AO5" s="7" t="s">
        <v>13</v>
      </c>
      <c r="AP5" s="11" t="s">
        <v>20</v>
      </c>
      <c r="AQ5" s="11" t="s">
        <v>21</v>
      </c>
      <c r="AR5" s="8" t="s">
        <v>18</v>
      </c>
      <c r="AS5" s="8" t="s">
        <v>55</v>
      </c>
      <c r="AT5" s="70" t="s">
        <v>23</v>
      </c>
      <c r="AU5" s="70" t="s">
        <v>24</v>
      </c>
      <c r="AV5" s="70" t="s">
        <v>25</v>
      </c>
      <c r="AW5" s="70" t="s">
        <v>92</v>
      </c>
      <c r="AX5" s="70" t="s">
        <v>25</v>
      </c>
      <c r="AY5" s="70" t="s">
        <v>93</v>
      </c>
      <c r="AZ5" s="9" t="s">
        <v>23</v>
      </c>
      <c r="BA5" s="9" t="s">
        <v>24</v>
      </c>
      <c r="BB5" s="9" t="s">
        <v>25</v>
      </c>
      <c r="BC5" s="9" t="s">
        <v>26</v>
      </c>
      <c r="BD5" s="9" t="s">
        <v>27</v>
      </c>
      <c r="BE5" s="10" t="s">
        <v>23</v>
      </c>
      <c r="BF5" s="10" t="s">
        <v>24</v>
      </c>
      <c r="BG5" s="10" t="s">
        <v>25</v>
      </c>
      <c r="BH5" s="10" t="s">
        <v>26</v>
      </c>
      <c r="BI5" s="10" t="s">
        <v>27</v>
      </c>
      <c r="BJ5" s="11" t="s">
        <v>45</v>
      </c>
      <c r="BK5" s="12" t="s">
        <v>29</v>
      </c>
      <c r="BL5" s="12" t="s">
        <v>30</v>
      </c>
      <c r="BM5" s="12" t="s">
        <v>31</v>
      </c>
      <c r="BN5" s="12" t="s">
        <v>32</v>
      </c>
      <c r="BO5" s="12" t="s">
        <v>33</v>
      </c>
      <c r="BP5" s="12" t="s">
        <v>35</v>
      </c>
      <c r="BQ5" s="12" t="s">
        <v>44</v>
      </c>
      <c r="BR5" s="12" t="s">
        <v>41</v>
      </c>
      <c r="BS5" s="12" t="s">
        <v>42</v>
      </c>
      <c r="BT5" s="12" t="s">
        <v>43</v>
      </c>
    </row>
    <row r="6" spans="1:72" s="1" customFormat="1" ht="15" customHeight="1" x14ac:dyDescent="0.25">
      <c r="A6" s="157">
        <v>42083</v>
      </c>
      <c r="B6" s="169" t="s">
        <v>14</v>
      </c>
      <c r="C6" s="170" t="s">
        <v>296</v>
      </c>
      <c r="D6" s="73" t="s">
        <v>302</v>
      </c>
      <c r="E6" s="73" t="s">
        <v>156</v>
      </c>
      <c r="F6" s="171" t="s">
        <v>312</v>
      </c>
      <c r="G6" s="175" t="s">
        <v>222</v>
      </c>
      <c r="H6" s="175">
        <v>25898499</v>
      </c>
      <c r="I6" s="172"/>
      <c r="J6" s="57"/>
      <c r="K6" s="44"/>
      <c r="L6" s="45"/>
      <c r="M6" s="45"/>
      <c r="N6" s="45"/>
      <c r="O6" s="69"/>
      <c r="P6" s="69"/>
      <c r="Q6" s="69"/>
      <c r="R6" s="69"/>
      <c r="S6" s="69"/>
      <c r="T6" s="69"/>
      <c r="U6" s="44"/>
      <c r="V6" s="68"/>
      <c r="W6" s="44"/>
      <c r="X6" s="68"/>
      <c r="Y6" s="140"/>
      <c r="Z6" s="68"/>
      <c r="AA6" s="178"/>
      <c r="AB6" s="44" t="str">
        <f>VLOOKUP(C6,'[1]Mid Feb 2015'!$A$3:$T$7,20,0)</f>
        <v>CA11054</v>
      </c>
      <c r="AC6" s="57"/>
      <c r="AD6" s="57"/>
      <c r="AE6" s="57"/>
      <c r="AF6" s="57"/>
      <c r="AG6" s="57"/>
      <c r="AH6" s="57"/>
      <c r="AI6" s="57"/>
      <c r="AJ6" s="43"/>
      <c r="AK6" s="57"/>
      <c r="AL6" s="57"/>
      <c r="AM6" s="57"/>
      <c r="AN6" s="57"/>
      <c r="AO6" s="178"/>
      <c r="AP6" s="173">
        <v>69.739999999999995</v>
      </c>
      <c r="AQ6" s="42">
        <f>AP6/0.444</f>
        <v>157.07207207207205</v>
      </c>
      <c r="AR6" s="119" t="s">
        <v>306</v>
      </c>
      <c r="AS6" s="120">
        <v>10038568742398</v>
      </c>
      <c r="AT6" s="183">
        <v>11.32</v>
      </c>
      <c r="AU6" s="183">
        <v>9.31</v>
      </c>
      <c r="AV6" s="183">
        <v>1.97</v>
      </c>
      <c r="AW6" s="97"/>
      <c r="AX6" s="72"/>
      <c r="AY6" s="72"/>
      <c r="AZ6" s="111">
        <f>10+(0.018*2)</f>
        <v>10.036</v>
      </c>
      <c r="BA6" s="111">
        <f>2.5+(0.018*2)</f>
        <v>2.536</v>
      </c>
      <c r="BB6" s="111">
        <f>12.5+(0.018*4)</f>
        <v>12.571999999999999</v>
      </c>
      <c r="BC6" s="184">
        <f>(BB6*BA6*AZ6)/1728</f>
        <v>0.18516996140740738</v>
      </c>
      <c r="BD6" s="111">
        <f>0.653+0.1</f>
        <v>0.753</v>
      </c>
      <c r="BE6" s="174">
        <f>13+(0.125*2)</f>
        <v>13.25</v>
      </c>
      <c r="BF6" s="174">
        <f>8+(0.125*2)</f>
        <v>8.25</v>
      </c>
      <c r="BG6" s="174">
        <f>11+(0.125*4)</f>
        <v>11.5</v>
      </c>
      <c r="BH6" s="184">
        <f>(BG6*BF6*BE6)/1728</f>
        <v>0.72748480902777779</v>
      </c>
      <c r="BI6" s="111">
        <f t="shared" ref="BI6:BI12" si="0">(BD6*3)+0.25</f>
        <v>2.5089999999999999</v>
      </c>
      <c r="BJ6" s="175" t="s">
        <v>68</v>
      </c>
      <c r="BK6" s="175">
        <v>3</v>
      </c>
      <c r="BL6" s="175">
        <v>16</v>
      </c>
      <c r="BM6" s="175">
        <v>3</v>
      </c>
      <c r="BN6" s="49">
        <f t="shared" ref="BN6:BN12" si="1">BK6*BL6*BM6</f>
        <v>144</v>
      </c>
      <c r="BO6" s="49">
        <f t="shared" ref="BO6:BO12" si="2">(BI6*BL6*BM6)+50</f>
        <v>170.43199999999999</v>
      </c>
      <c r="BP6" s="175" t="s">
        <v>307</v>
      </c>
      <c r="BQ6" s="49" t="s">
        <v>67</v>
      </c>
      <c r="BR6" s="71"/>
      <c r="BS6" s="71"/>
      <c r="BT6" s="71"/>
    </row>
    <row r="7" spans="1:72" s="1" customFormat="1" x14ac:dyDescent="0.25">
      <c r="A7" s="157">
        <v>42083</v>
      </c>
      <c r="B7" s="169" t="s">
        <v>14</v>
      </c>
      <c r="C7" s="170" t="s">
        <v>297</v>
      </c>
      <c r="D7" s="73" t="s">
        <v>302</v>
      </c>
      <c r="E7" s="73" t="s">
        <v>156</v>
      </c>
      <c r="F7" s="171" t="s">
        <v>313</v>
      </c>
      <c r="G7" s="175" t="s">
        <v>314</v>
      </c>
      <c r="H7" s="175">
        <v>13717798342</v>
      </c>
      <c r="I7" s="172"/>
      <c r="J7" s="57"/>
      <c r="K7" s="44"/>
      <c r="L7" s="45"/>
      <c r="M7" s="45"/>
      <c r="N7" s="45"/>
      <c r="O7" s="69"/>
      <c r="P7" s="69"/>
      <c r="Q7" s="69"/>
      <c r="R7" s="69"/>
      <c r="S7" s="69"/>
      <c r="T7" s="69"/>
      <c r="U7" s="44"/>
      <c r="V7" s="68"/>
      <c r="W7" s="44"/>
      <c r="X7" s="68"/>
      <c r="Y7" s="140"/>
      <c r="Z7" s="68"/>
      <c r="AA7" s="44"/>
      <c r="AB7" s="44" t="str">
        <f>VLOOKUP(C7,'[1]Mid Feb 2015'!$A$3:$T$7,20,0)</f>
        <v>CA11013</v>
      </c>
      <c r="AC7" s="161" t="s">
        <v>333</v>
      </c>
      <c r="AD7" s="57"/>
      <c r="AE7" s="57"/>
      <c r="AF7" s="57"/>
      <c r="AG7" s="57"/>
      <c r="AH7" s="57"/>
      <c r="AI7" s="57"/>
      <c r="AJ7" s="43"/>
      <c r="AK7" s="57" t="s">
        <v>334</v>
      </c>
      <c r="AL7" s="57"/>
      <c r="AM7" s="57"/>
      <c r="AN7" s="57"/>
      <c r="AO7" s="141" t="s">
        <v>335</v>
      </c>
      <c r="AP7" s="173">
        <v>46.6</v>
      </c>
      <c r="AQ7" s="42">
        <f t="shared" ref="AQ7:AQ19" si="3">AP7/0.444</f>
        <v>104.95495495495496</v>
      </c>
      <c r="AR7" s="119" t="s">
        <v>308</v>
      </c>
      <c r="AS7" s="120">
        <v>10038568742411</v>
      </c>
      <c r="AT7" s="183">
        <v>12.68</v>
      </c>
      <c r="AU7" s="183">
        <v>10.02</v>
      </c>
      <c r="AV7" s="183">
        <v>2.17</v>
      </c>
      <c r="AW7" s="97"/>
      <c r="AX7" s="97"/>
      <c r="AY7" s="97"/>
      <c r="AZ7" s="111">
        <f>10.5+(0.018*2)</f>
        <v>10.536</v>
      </c>
      <c r="BA7" s="111">
        <f>2.75+(0.018*2)</f>
        <v>2.786</v>
      </c>
      <c r="BB7" s="111">
        <f>15+(0.018*4)</f>
        <v>15.071999999999999</v>
      </c>
      <c r="BC7" s="184">
        <f>(BB7*BA7*AZ7)/1728</f>
        <v>0.25602597066666666</v>
      </c>
      <c r="BD7" s="111">
        <f>1.071+0.1</f>
        <v>1.171</v>
      </c>
      <c r="BE7" s="174">
        <f>15.43+(0.125*2)</f>
        <v>15.68</v>
      </c>
      <c r="BF7" s="174">
        <f>11.56+(0.125*2)</f>
        <v>11.81</v>
      </c>
      <c r="BG7" s="174">
        <f>9.12+(0.125*4)</f>
        <v>9.6199999999999992</v>
      </c>
      <c r="BH7" s="184">
        <f>(BG7*BF7*BE7)/1728</f>
        <v>1.0309255185185184</v>
      </c>
      <c r="BI7" s="111">
        <f t="shared" si="0"/>
        <v>3.7629999999999999</v>
      </c>
      <c r="BJ7" s="175" t="s">
        <v>68</v>
      </c>
      <c r="BK7" s="175">
        <v>3</v>
      </c>
      <c r="BL7" s="175">
        <v>10</v>
      </c>
      <c r="BM7" s="175">
        <v>4</v>
      </c>
      <c r="BN7" s="49">
        <f t="shared" si="1"/>
        <v>120</v>
      </c>
      <c r="BO7" s="49">
        <f t="shared" si="2"/>
        <v>200.51999999999998</v>
      </c>
      <c r="BP7" s="175" t="s">
        <v>307</v>
      </c>
      <c r="BQ7" s="49" t="s">
        <v>67</v>
      </c>
      <c r="BR7" s="71"/>
      <c r="BS7" s="71"/>
      <c r="BT7" s="71"/>
    </row>
    <row r="8" spans="1:72" s="1" customFormat="1" x14ac:dyDescent="0.25">
      <c r="A8" s="157">
        <v>42083</v>
      </c>
      <c r="B8" s="169" t="s">
        <v>14</v>
      </c>
      <c r="C8" s="170" t="s">
        <v>298</v>
      </c>
      <c r="D8" s="73" t="s">
        <v>302</v>
      </c>
      <c r="E8" s="73" t="s">
        <v>156</v>
      </c>
      <c r="F8" s="171" t="s">
        <v>320</v>
      </c>
      <c r="G8" s="175" t="s">
        <v>321</v>
      </c>
      <c r="H8" s="175" t="s">
        <v>322</v>
      </c>
      <c r="I8" s="172"/>
      <c r="J8" s="57"/>
      <c r="K8" s="44"/>
      <c r="L8" s="45"/>
      <c r="M8" s="45"/>
      <c r="N8" s="45"/>
      <c r="O8" s="69"/>
      <c r="P8" s="69"/>
      <c r="Q8" s="69"/>
      <c r="R8" s="69"/>
      <c r="S8" s="69"/>
      <c r="T8" s="69"/>
      <c r="U8" s="44"/>
      <c r="V8" s="68"/>
      <c r="W8" s="44"/>
      <c r="X8" s="68"/>
      <c r="Y8" s="140"/>
      <c r="Z8" s="68"/>
      <c r="AA8" s="44"/>
      <c r="AB8" s="44" t="str">
        <f>VLOOKUP(C8,'[1]Mid Feb 2015'!$A$3:$T$7,20,0)</f>
        <v>CA11421</v>
      </c>
      <c r="AC8" s="141"/>
      <c r="AD8" s="57"/>
      <c r="AE8" s="57"/>
      <c r="AF8" s="57"/>
      <c r="AG8" s="57"/>
      <c r="AH8" s="57"/>
      <c r="AI8" s="57"/>
      <c r="AJ8" s="43"/>
      <c r="AK8" s="57" t="s">
        <v>336</v>
      </c>
      <c r="AL8" s="57"/>
      <c r="AM8" s="57"/>
      <c r="AN8" s="57"/>
      <c r="AO8" s="141" t="s">
        <v>337</v>
      </c>
      <c r="AP8" s="173">
        <v>21.67</v>
      </c>
      <c r="AQ8" s="42">
        <f t="shared" si="3"/>
        <v>48.806306306306311</v>
      </c>
      <c r="AR8" s="119" t="s">
        <v>311</v>
      </c>
      <c r="AS8" s="120">
        <v>10038568316056</v>
      </c>
      <c r="AT8" s="183">
        <v>11.22</v>
      </c>
      <c r="AU8" s="183">
        <v>6.46</v>
      </c>
      <c r="AV8" s="183">
        <v>2.11</v>
      </c>
      <c r="AW8" s="97"/>
      <c r="AX8" s="97"/>
      <c r="AY8" s="97"/>
      <c r="AZ8" s="111">
        <f>7+(0.018*2)</f>
        <v>7.0359999999999996</v>
      </c>
      <c r="BA8" s="111">
        <f>2.5+(0.018*2)</f>
        <v>2.536</v>
      </c>
      <c r="BB8" s="111">
        <f>11.75+(0.018*4)</f>
        <v>11.821999999999999</v>
      </c>
      <c r="BC8" s="184">
        <f>(BB8*BA8*AZ8)/1728</f>
        <v>0.12207375307407406</v>
      </c>
      <c r="BD8" s="111">
        <f>0.701+0.1</f>
        <v>0.80099999999999993</v>
      </c>
      <c r="BE8" s="174">
        <f>12+(0.125*2)</f>
        <v>12.25</v>
      </c>
      <c r="BF8" s="174">
        <f>7.25+(0.125*2)</f>
        <v>7.5</v>
      </c>
      <c r="BG8" s="174">
        <f>8+(0.125*4)</f>
        <v>8.5</v>
      </c>
      <c r="BH8" s="184">
        <f>(BG8*BF8*BE8)/1728</f>
        <v>0.4519314236111111</v>
      </c>
      <c r="BI8" s="111">
        <f t="shared" si="0"/>
        <v>2.6529999999999996</v>
      </c>
      <c r="BJ8" s="175" t="s">
        <v>68</v>
      </c>
      <c r="BK8" s="175">
        <v>3</v>
      </c>
      <c r="BL8" s="175">
        <v>20</v>
      </c>
      <c r="BM8" s="175">
        <v>5</v>
      </c>
      <c r="BN8" s="49">
        <f t="shared" si="1"/>
        <v>300</v>
      </c>
      <c r="BO8" s="49">
        <f t="shared" si="2"/>
        <v>315.29999999999995</v>
      </c>
      <c r="BP8" s="175" t="s">
        <v>307</v>
      </c>
      <c r="BQ8" s="49" t="s">
        <v>67</v>
      </c>
      <c r="BR8" s="71"/>
      <c r="BS8" s="71"/>
      <c r="BT8" s="71"/>
    </row>
    <row r="9" spans="1:72" s="1" customFormat="1" x14ac:dyDescent="0.25">
      <c r="A9" s="157">
        <v>42083</v>
      </c>
      <c r="B9" s="169" t="s">
        <v>14</v>
      </c>
      <c r="C9" s="170" t="s">
        <v>299</v>
      </c>
      <c r="D9" s="73" t="s">
        <v>302</v>
      </c>
      <c r="E9" s="73" t="s">
        <v>156</v>
      </c>
      <c r="F9" s="171" t="s">
        <v>315</v>
      </c>
      <c r="G9" s="175" t="s">
        <v>316</v>
      </c>
      <c r="H9" s="175">
        <v>2710940304</v>
      </c>
      <c r="I9" s="172"/>
      <c r="J9" s="57"/>
      <c r="K9" s="44"/>
      <c r="L9" s="45"/>
      <c r="M9" s="45"/>
      <c r="N9" s="45"/>
      <c r="O9" s="69"/>
      <c r="P9" s="69"/>
      <c r="Q9" s="69"/>
      <c r="R9" s="69"/>
      <c r="S9" s="69"/>
      <c r="T9" s="69"/>
      <c r="U9" s="44"/>
      <c r="V9" s="68"/>
      <c r="W9" s="44"/>
      <c r="X9" s="68"/>
      <c r="Y9" s="140"/>
      <c r="Z9" s="68"/>
      <c r="AA9" s="44"/>
      <c r="AB9" s="44" t="str">
        <f>VLOOKUP(C9,'[1]Mid Feb 2015'!$A$3:$T$7,20,0)</f>
        <v>CA11453</v>
      </c>
      <c r="AC9" s="141"/>
      <c r="AD9" s="57"/>
      <c r="AE9" s="57"/>
      <c r="AF9" s="57"/>
      <c r="AG9" s="57"/>
      <c r="AH9" s="57"/>
      <c r="AI9" s="57"/>
      <c r="AJ9" s="43"/>
      <c r="AK9" s="140"/>
      <c r="AL9" s="57"/>
      <c r="AM9" s="57"/>
      <c r="AN9" s="57"/>
      <c r="AO9" s="44"/>
      <c r="AP9" s="173">
        <v>25.89</v>
      </c>
      <c r="AQ9" s="42">
        <f t="shared" si="3"/>
        <v>58.310810810810814</v>
      </c>
      <c r="AR9" s="119" t="s">
        <v>309</v>
      </c>
      <c r="AS9" s="120">
        <v>10038568742480</v>
      </c>
      <c r="AT9" s="183">
        <v>12.36</v>
      </c>
      <c r="AU9" s="183">
        <v>5.75</v>
      </c>
      <c r="AV9" s="183">
        <v>2.0099999999999998</v>
      </c>
      <c r="AW9" s="97"/>
      <c r="AX9" s="97"/>
      <c r="AY9" s="97"/>
      <c r="AZ9" s="111">
        <f>9.25+(0.018*2)</f>
        <v>9.2859999999999996</v>
      </c>
      <c r="BA9" s="111">
        <f>2.87+(0.018*2)</f>
        <v>2.9060000000000001</v>
      </c>
      <c r="BB9" s="111">
        <f>13.12+(0.018*4)</f>
        <v>13.191999999999998</v>
      </c>
      <c r="BC9" s="184">
        <f>(BB9*BA9*AZ9)/1728</f>
        <v>0.20601137168518519</v>
      </c>
      <c r="BD9" s="111">
        <f>0.4+0.1</f>
        <v>0.5</v>
      </c>
      <c r="BE9" s="174">
        <f>13.62+(0.125*2)</f>
        <v>13.87</v>
      </c>
      <c r="BF9" s="174">
        <f>9.5+(0.125*2)</f>
        <v>9.75</v>
      </c>
      <c r="BG9" s="174">
        <f>9.5+(0.125*4)</f>
        <v>10</v>
      </c>
      <c r="BH9" s="184">
        <f>(BG9*BF9*BE9)/1728</f>
        <v>0.78259548611111096</v>
      </c>
      <c r="BI9" s="111">
        <f t="shared" si="0"/>
        <v>1.75</v>
      </c>
      <c r="BJ9" s="175" t="s">
        <v>68</v>
      </c>
      <c r="BK9" s="175">
        <v>3</v>
      </c>
      <c r="BL9" s="175">
        <v>13</v>
      </c>
      <c r="BM9" s="175">
        <v>4</v>
      </c>
      <c r="BN9" s="49">
        <f t="shared" si="1"/>
        <v>156</v>
      </c>
      <c r="BO9" s="49">
        <f t="shared" si="2"/>
        <v>141</v>
      </c>
      <c r="BP9" s="175" t="s">
        <v>69</v>
      </c>
      <c r="BQ9" s="49" t="s">
        <v>67</v>
      </c>
      <c r="BR9" s="71"/>
      <c r="BS9" s="71"/>
      <c r="BT9" s="71"/>
    </row>
    <row r="10" spans="1:72" s="1" customFormat="1" x14ac:dyDescent="0.25">
      <c r="A10" s="157">
        <v>42083</v>
      </c>
      <c r="B10" s="43" t="s">
        <v>14</v>
      </c>
      <c r="C10" s="176" t="s">
        <v>300</v>
      </c>
      <c r="D10" s="73" t="s">
        <v>302</v>
      </c>
      <c r="E10" s="73" t="s">
        <v>156</v>
      </c>
      <c r="F10" s="150" t="s">
        <v>340</v>
      </c>
      <c r="G10" s="172" t="s">
        <v>314</v>
      </c>
      <c r="H10" s="57">
        <v>13717599285</v>
      </c>
      <c r="I10" s="172"/>
      <c r="J10" s="57"/>
      <c r="K10" s="44"/>
      <c r="L10" s="45"/>
      <c r="M10" s="45"/>
      <c r="N10" s="45"/>
      <c r="O10" s="69"/>
      <c r="P10" s="69"/>
      <c r="Q10" s="69"/>
      <c r="R10" s="69"/>
      <c r="S10" s="69"/>
      <c r="T10" s="69"/>
      <c r="U10" s="44"/>
      <c r="V10" s="68"/>
      <c r="W10" s="44"/>
      <c r="X10" s="68"/>
      <c r="Y10" s="140"/>
      <c r="Z10" s="68"/>
      <c r="AA10" s="44"/>
      <c r="AB10" s="44"/>
      <c r="AC10" s="141"/>
      <c r="AD10" s="57"/>
      <c r="AE10" s="57"/>
      <c r="AF10" s="57"/>
      <c r="AG10" s="57"/>
      <c r="AH10" s="57"/>
      <c r="AI10" s="57"/>
      <c r="AJ10" s="43"/>
      <c r="AK10" s="140"/>
      <c r="AL10" s="57"/>
      <c r="AM10" s="57"/>
      <c r="AN10" s="57"/>
      <c r="AO10" s="44"/>
      <c r="AP10" s="173">
        <v>30.61</v>
      </c>
      <c r="AQ10" s="42">
        <f t="shared" si="3"/>
        <v>68.941441441441441</v>
      </c>
      <c r="AR10" s="119" t="s">
        <v>371</v>
      </c>
      <c r="AS10" s="120">
        <v>10038568742510</v>
      </c>
      <c r="AT10" s="183">
        <v>11.2</v>
      </c>
      <c r="AU10" s="183">
        <v>10.43</v>
      </c>
      <c r="AV10" s="183">
        <v>1.28</v>
      </c>
      <c r="AW10" s="97"/>
      <c r="AX10" s="97"/>
      <c r="AY10" s="97"/>
      <c r="AZ10" s="111">
        <f>12.12+(0.018*2)</f>
        <v>12.155999999999999</v>
      </c>
      <c r="BA10" s="111">
        <f>2.56+(0.018*2)</f>
        <v>2.5960000000000001</v>
      </c>
      <c r="BB10" s="111">
        <f>12.12+(0.018*4)</f>
        <v>12.191999999999998</v>
      </c>
      <c r="BC10" s="184">
        <f t="shared" ref="BC10" si="4">(BB10*BA10*AZ10)/1728</f>
        <v>0.22265199733333332</v>
      </c>
      <c r="BD10" s="111">
        <f>0.507+0.1</f>
        <v>0.60699999999999998</v>
      </c>
      <c r="BE10" s="174">
        <f>12.37+(0.125*2)</f>
        <v>12.62</v>
      </c>
      <c r="BF10" s="174">
        <f>8.12+(0.125*2)</f>
        <v>8.3699999999999992</v>
      </c>
      <c r="BG10" s="174">
        <f>12.37+(0.125*4)</f>
        <v>12.87</v>
      </c>
      <c r="BH10" s="184">
        <f t="shared" ref="BH10" si="5">(BG10*BF10*BE10)/1728</f>
        <v>0.78671896874999969</v>
      </c>
      <c r="BI10" s="111">
        <f t="shared" si="0"/>
        <v>2.0709999999999997</v>
      </c>
      <c r="BJ10" s="175" t="s">
        <v>68</v>
      </c>
      <c r="BK10" s="175">
        <v>3</v>
      </c>
      <c r="BL10" s="175">
        <v>16</v>
      </c>
      <c r="BM10" s="175">
        <v>5</v>
      </c>
      <c r="BN10" s="49">
        <f t="shared" si="1"/>
        <v>240</v>
      </c>
      <c r="BO10" s="49">
        <f t="shared" si="2"/>
        <v>215.67999999999998</v>
      </c>
      <c r="BP10" s="175" t="s">
        <v>217</v>
      </c>
      <c r="BQ10" s="49" t="s">
        <v>67</v>
      </c>
      <c r="BR10" s="71"/>
      <c r="BS10" s="71"/>
      <c r="BT10" s="71"/>
    </row>
    <row r="11" spans="1:72" s="1" customFormat="1" x14ac:dyDescent="0.25">
      <c r="A11" s="157">
        <v>42083</v>
      </c>
      <c r="B11" s="164" t="s">
        <v>36</v>
      </c>
      <c r="C11" s="162" t="s">
        <v>303</v>
      </c>
      <c r="D11" s="73" t="s">
        <v>302</v>
      </c>
      <c r="E11" s="73" t="s">
        <v>156</v>
      </c>
      <c r="F11" s="171" t="s">
        <v>317</v>
      </c>
      <c r="G11" s="175" t="s">
        <v>318</v>
      </c>
      <c r="H11" s="175" t="s">
        <v>319</v>
      </c>
      <c r="I11" s="172"/>
      <c r="J11" s="57"/>
      <c r="K11" s="44"/>
      <c r="L11" s="45"/>
      <c r="M11" s="45"/>
      <c r="N11" s="45"/>
      <c r="O11" s="69"/>
      <c r="P11" s="69"/>
      <c r="Q11" s="69"/>
      <c r="R11" s="69"/>
      <c r="S11" s="69"/>
      <c r="T11" s="69"/>
      <c r="U11" s="44"/>
      <c r="V11" s="68"/>
      <c r="W11" s="44"/>
      <c r="X11" s="68"/>
      <c r="Y11" s="140"/>
      <c r="Z11" s="68"/>
      <c r="AA11" s="44"/>
      <c r="AB11" s="44" t="str">
        <f>VLOOKUP(C11,'[1]Mid Feb 2015'!$A$3:$T$7,20,0)</f>
        <v>CA11420</v>
      </c>
      <c r="AC11" s="141"/>
      <c r="AD11" s="57"/>
      <c r="AE11" s="57"/>
      <c r="AF11" s="57"/>
      <c r="AG11" s="57"/>
      <c r="AH11" s="57"/>
      <c r="AI11" s="57"/>
      <c r="AJ11" s="43"/>
      <c r="AK11" s="140"/>
      <c r="AL11" s="57"/>
      <c r="AM11" s="57"/>
      <c r="AN11" s="57"/>
      <c r="AO11" s="44"/>
      <c r="AP11" s="181">
        <v>19.86</v>
      </c>
      <c r="AQ11" s="42">
        <f>AP11/0.444</f>
        <v>44.729729729729726</v>
      </c>
      <c r="AR11" s="119" t="s">
        <v>310</v>
      </c>
      <c r="AS11" s="120">
        <v>10038568315981</v>
      </c>
      <c r="AT11" s="183">
        <v>11.67</v>
      </c>
      <c r="AU11" s="183">
        <v>6.48</v>
      </c>
      <c r="AV11" s="183">
        <v>2.09</v>
      </c>
      <c r="AW11" s="97"/>
      <c r="AX11" s="97"/>
      <c r="AY11" s="97"/>
      <c r="AZ11" s="111">
        <f>7+(0.018*2)</f>
        <v>7.0359999999999996</v>
      </c>
      <c r="BA11" s="111">
        <f>2.5+(0.018*2)</f>
        <v>2.536</v>
      </c>
      <c r="BB11" s="111">
        <f>11.75+(0.018*4)</f>
        <v>11.821999999999999</v>
      </c>
      <c r="BC11" s="184">
        <f>(BB11*BA11*AZ11)/1728</f>
        <v>0.12207375307407406</v>
      </c>
      <c r="BD11" s="111">
        <f>0.7+0.1</f>
        <v>0.79999999999999993</v>
      </c>
      <c r="BE11" s="174">
        <f>12+(0.125*2)</f>
        <v>12.25</v>
      </c>
      <c r="BF11" s="174">
        <f>7.25+(0.125*2)</f>
        <v>7.5</v>
      </c>
      <c r="BG11" s="174">
        <f>8+(0.125*4)</f>
        <v>8.5</v>
      </c>
      <c r="BH11" s="184">
        <f>(BG11*BF11*BE11)/1728</f>
        <v>0.4519314236111111</v>
      </c>
      <c r="BI11" s="111">
        <f t="shared" si="0"/>
        <v>2.65</v>
      </c>
      <c r="BJ11" s="175" t="s">
        <v>68</v>
      </c>
      <c r="BK11" s="175">
        <v>3</v>
      </c>
      <c r="BL11" s="175">
        <v>20</v>
      </c>
      <c r="BM11" s="175">
        <v>5</v>
      </c>
      <c r="BN11" s="49">
        <f t="shared" si="1"/>
        <v>300</v>
      </c>
      <c r="BO11" s="49">
        <f t="shared" si="2"/>
        <v>315</v>
      </c>
      <c r="BP11" s="171" t="s">
        <v>307</v>
      </c>
      <c r="BQ11" s="49" t="s">
        <v>67</v>
      </c>
      <c r="BR11" s="71"/>
      <c r="BS11" s="71"/>
      <c r="BT11" s="71"/>
    </row>
    <row r="12" spans="1:72" s="1" customFormat="1" x14ac:dyDescent="0.25">
      <c r="A12" s="157">
        <v>42083</v>
      </c>
      <c r="B12" s="165" t="s">
        <v>36</v>
      </c>
      <c r="C12" s="163" t="s">
        <v>298</v>
      </c>
      <c r="D12" s="73" t="s">
        <v>302</v>
      </c>
      <c r="E12" s="73" t="s">
        <v>156</v>
      </c>
      <c r="F12" s="150" t="s">
        <v>341</v>
      </c>
      <c r="G12" s="175" t="s">
        <v>321</v>
      </c>
      <c r="H12" s="175" t="s">
        <v>322</v>
      </c>
      <c r="I12" s="172"/>
      <c r="J12" s="57"/>
      <c r="K12" s="44"/>
      <c r="L12" s="45"/>
      <c r="M12" s="45"/>
      <c r="N12" s="45"/>
      <c r="O12" s="69"/>
      <c r="P12" s="69"/>
      <c r="Q12" s="69"/>
      <c r="R12" s="69"/>
      <c r="S12" s="69"/>
      <c r="T12" s="69"/>
      <c r="U12" s="44"/>
      <c r="V12" s="68"/>
      <c r="W12" s="44"/>
      <c r="X12" s="68"/>
      <c r="Y12" s="140"/>
      <c r="Z12" s="68"/>
      <c r="AA12" s="44"/>
      <c r="AB12" s="44" t="str">
        <f>VLOOKUP(C12,'[1]Mid Feb 2015'!$A$3:$T$7,20,0)</f>
        <v>CA11421</v>
      </c>
      <c r="AC12" s="141"/>
      <c r="AD12" s="57"/>
      <c r="AE12" s="57"/>
      <c r="AF12" s="57"/>
      <c r="AG12" s="57"/>
      <c r="AH12" s="57"/>
      <c r="AI12" s="57"/>
      <c r="AJ12" s="43"/>
      <c r="AK12" s="140"/>
      <c r="AL12" s="57"/>
      <c r="AM12" s="57"/>
      <c r="AN12" s="57"/>
      <c r="AO12" s="44"/>
      <c r="AP12" s="173">
        <v>21.67</v>
      </c>
      <c r="AQ12" s="42">
        <f>AP12/0.444</f>
        <v>48.806306306306311</v>
      </c>
      <c r="AR12" s="119" t="s">
        <v>311</v>
      </c>
      <c r="AS12" s="120">
        <v>10038568316056</v>
      </c>
      <c r="AT12" s="183">
        <v>11.22</v>
      </c>
      <c r="AU12" s="183">
        <v>6.46</v>
      </c>
      <c r="AV12" s="183">
        <v>2.11</v>
      </c>
      <c r="AW12" s="97"/>
      <c r="AX12" s="97"/>
      <c r="AY12" s="97"/>
      <c r="AZ12" s="111">
        <f>7+(0.018*2)</f>
        <v>7.0359999999999996</v>
      </c>
      <c r="BA12" s="111">
        <f>2.5+(0.018*2)</f>
        <v>2.536</v>
      </c>
      <c r="BB12" s="111">
        <f>11.75+(0.018*4)</f>
        <v>11.821999999999999</v>
      </c>
      <c r="BC12" s="184">
        <f t="shared" ref="BC12" si="6">(BB12*BA12*AZ12)/1728</f>
        <v>0.12207375307407406</v>
      </c>
      <c r="BD12" s="111">
        <f>0.701+0.1</f>
        <v>0.80099999999999993</v>
      </c>
      <c r="BE12" s="174">
        <f>12+(0.125*2)</f>
        <v>12.25</v>
      </c>
      <c r="BF12" s="174">
        <f>7.25+(0.125*2)</f>
        <v>7.5</v>
      </c>
      <c r="BG12" s="174">
        <f>8+(0.125*4)</f>
        <v>8.5</v>
      </c>
      <c r="BH12" s="184">
        <f t="shared" ref="BH12" si="7">(BG12*BF12*BE12)/1728</f>
        <v>0.4519314236111111</v>
      </c>
      <c r="BI12" s="111">
        <f t="shared" si="0"/>
        <v>2.6529999999999996</v>
      </c>
      <c r="BJ12" s="175" t="s">
        <v>68</v>
      </c>
      <c r="BK12" s="175">
        <v>3</v>
      </c>
      <c r="BL12" s="175">
        <v>20</v>
      </c>
      <c r="BM12" s="175">
        <v>5</v>
      </c>
      <c r="BN12" s="49">
        <f t="shared" si="1"/>
        <v>300</v>
      </c>
      <c r="BO12" s="49">
        <f t="shared" si="2"/>
        <v>315.29999999999995</v>
      </c>
      <c r="BP12" s="175" t="s">
        <v>307</v>
      </c>
      <c r="BQ12" s="49" t="s">
        <v>67</v>
      </c>
      <c r="BR12" s="71"/>
      <c r="BS12" s="71"/>
      <c r="BT12" s="71"/>
    </row>
    <row r="13" spans="1:72" s="1" customFormat="1" x14ac:dyDescent="0.25">
      <c r="A13" s="157">
        <v>42083</v>
      </c>
      <c r="B13" s="159" t="s">
        <v>14</v>
      </c>
      <c r="C13" s="163" t="s">
        <v>348</v>
      </c>
      <c r="D13" s="73" t="s">
        <v>73</v>
      </c>
      <c r="E13" s="73" t="s">
        <v>285</v>
      </c>
      <c r="F13" s="150" t="s">
        <v>349</v>
      </c>
      <c r="G13" s="175" t="s">
        <v>351</v>
      </c>
      <c r="H13" s="175" t="s">
        <v>350</v>
      </c>
      <c r="I13" s="172"/>
      <c r="J13" s="57"/>
      <c r="K13" s="44"/>
      <c r="L13" s="45"/>
      <c r="M13" s="45"/>
      <c r="N13" s="45"/>
      <c r="O13" s="69"/>
      <c r="P13" s="69"/>
      <c r="Q13" s="69"/>
      <c r="R13" s="69"/>
      <c r="S13" s="69"/>
      <c r="T13" s="69"/>
      <c r="U13" s="44"/>
      <c r="V13" s="68"/>
      <c r="W13" s="44"/>
      <c r="X13" s="68"/>
      <c r="Y13" s="140" t="s">
        <v>353</v>
      </c>
      <c r="Z13" s="68"/>
      <c r="AA13" s="44"/>
      <c r="AB13" s="44"/>
      <c r="AC13" s="141"/>
      <c r="AD13" s="57"/>
      <c r="AE13" s="57"/>
      <c r="AF13" s="57"/>
      <c r="AG13" s="57"/>
      <c r="AH13" s="57"/>
      <c r="AI13" s="57"/>
      <c r="AJ13" s="43"/>
      <c r="AK13" s="140"/>
      <c r="AL13" s="57"/>
      <c r="AM13" s="57"/>
      <c r="AN13" s="57"/>
      <c r="AO13" s="44" t="s">
        <v>354</v>
      </c>
      <c r="AP13" s="173">
        <v>74.69</v>
      </c>
      <c r="AQ13" s="42">
        <f t="shared" si="3"/>
        <v>168.22072072072072</v>
      </c>
      <c r="AR13" s="179" t="s">
        <v>372</v>
      </c>
      <c r="AS13" s="180" t="s">
        <v>373</v>
      </c>
      <c r="AT13" s="183"/>
      <c r="AU13" s="183"/>
      <c r="AV13" s="183"/>
      <c r="AW13" s="183">
        <v>1.63</v>
      </c>
      <c r="AX13" s="183">
        <v>3.54</v>
      </c>
      <c r="AY13" s="97"/>
      <c r="AZ13" s="218" t="s">
        <v>84</v>
      </c>
      <c r="BA13" s="218"/>
      <c r="BB13" s="218"/>
      <c r="BC13" s="218"/>
      <c r="BD13" s="218"/>
      <c r="BE13" s="111">
        <v>3.375</v>
      </c>
      <c r="BF13" s="111">
        <v>3.375</v>
      </c>
      <c r="BG13" s="111">
        <v>5</v>
      </c>
      <c r="BH13" s="184">
        <f>(BG13*BF13*BE13)/1728</f>
        <v>3.2958984375E-2</v>
      </c>
      <c r="BI13" s="111">
        <v>1.85</v>
      </c>
      <c r="BJ13" s="182" t="s">
        <v>64</v>
      </c>
      <c r="BK13" s="49">
        <v>1</v>
      </c>
      <c r="BL13" s="49">
        <v>357</v>
      </c>
      <c r="BM13" s="49">
        <v>9</v>
      </c>
      <c r="BN13" s="49">
        <f>BK13*BL13*BM13</f>
        <v>3213</v>
      </c>
      <c r="BO13" s="49">
        <f>(BI13*BL13*BM13)+50</f>
        <v>5994.05</v>
      </c>
      <c r="BP13" s="175" t="s">
        <v>374</v>
      </c>
      <c r="BQ13" s="49" t="s">
        <v>67</v>
      </c>
      <c r="BR13" s="71"/>
      <c r="BS13" s="71"/>
      <c r="BT13" s="71"/>
    </row>
    <row r="14" spans="1:72" s="1" customFormat="1" x14ac:dyDescent="0.25">
      <c r="A14" s="157">
        <v>42083</v>
      </c>
      <c r="B14" s="159" t="s">
        <v>14</v>
      </c>
      <c r="C14" s="163" t="s">
        <v>352</v>
      </c>
      <c r="D14" s="73" t="s">
        <v>73</v>
      </c>
      <c r="E14" s="73" t="s">
        <v>285</v>
      </c>
      <c r="F14" s="150" t="s">
        <v>355</v>
      </c>
      <c r="G14" s="150" t="s">
        <v>355</v>
      </c>
      <c r="H14" s="175" t="s">
        <v>356</v>
      </c>
      <c r="I14" s="172"/>
      <c r="J14" s="57"/>
      <c r="K14" s="44"/>
      <c r="L14" s="45"/>
      <c r="M14" s="45"/>
      <c r="N14" s="45"/>
      <c r="O14" s="69"/>
      <c r="P14" s="69"/>
      <c r="Q14" s="69"/>
      <c r="R14" s="69"/>
      <c r="S14" s="69"/>
      <c r="T14" s="69"/>
      <c r="U14" s="44" t="s">
        <v>358</v>
      </c>
      <c r="V14" s="68"/>
      <c r="W14" s="44"/>
      <c r="X14" s="68"/>
      <c r="Y14" s="140"/>
      <c r="Z14" s="68"/>
      <c r="AA14" s="44"/>
      <c r="AB14" s="44"/>
      <c r="AC14" s="141"/>
      <c r="AD14" s="57"/>
      <c r="AE14" s="57"/>
      <c r="AF14" s="57"/>
      <c r="AG14" s="57"/>
      <c r="AH14" s="57"/>
      <c r="AI14" s="57"/>
      <c r="AJ14" s="43"/>
      <c r="AK14" s="140"/>
      <c r="AL14" s="57"/>
      <c r="AM14" s="57"/>
      <c r="AN14" s="57"/>
      <c r="AO14" s="44" t="s">
        <v>357</v>
      </c>
      <c r="AP14" s="173">
        <v>33</v>
      </c>
      <c r="AQ14" s="42">
        <f t="shared" si="3"/>
        <v>74.324324324324323</v>
      </c>
      <c r="AR14" s="179" t="s">
        <v>375</v>
      </c>
      <c r="AS14" s="180" t="s">
        <v>376</v>
      </c>
      <c r="AT14" s="183"/>
      <c r="AU14" s="183"/>
      <c r="AV14" s="183"/>
      <c r="AW14" s="183">
        <v>2.04</v>
      </c>
      <c r="AX14" s="183">
        <v>2.95</v>
      </c>
      <c r="AY14" s="97"/>
      <c r="AZ14" s="218" t="s">
        <v>84</v>
      </c>
      <c r="BA14" s="218"/>
      <c r="BB14" s="218"/>
      <c r="BC14" s="218"/>
      <c r="BD14" s="218"/>
      <c r="BE14" s="111">
        <v>2.5</v>
      </c>
      <c r="BF14" s="111">
        <v>2.5</v>
      </c>
      <c r="BG14" s="111">
        <v>5</v>
      </c>
      <c r="BH14" s="184">
        <f t="shared" ref="BH14:BH15" si="8">(BG14*BF14*BE14)/1728</f>
        <v>1.8084490740740741E-2</v>
      </c>
      <c r="BI14" s="111">
        <v>0.55000000000000004</v>
      </c>
      <c r="BJ14" s="182" t="s">
        <v>64</v>
      </c>
      <c r="BK14" s="49">
        <v>1</v>
      </c>
      <c r="BL14" s="49">
        <v>357</v>
      </c>
      <c r="BM14" s="49">
        <v>9</v>
      </c>
      <c r="BN14" s="49">
        <f t="shared" ref="BN14:BN15" si="9">BK14*BL14*BM14</f>
        <v>3213</v>
      </c>
      <c r="BO14" s="49">
        <f t="shared" ref="BO14:BO15" si="10">(BI14*BL14*BM14)+50</f>
        <v>1817.15</v>
      </c>
      <c r="BP14" s="175" t="s">
        <v>374</v>
      </c>
      <c r="BQ14" s="49" t="s">
        <v>67</v>
      </c>
      <c r="BR14" s="71"/>
      <c r="BS14" s="71"/>
      <c r="BT14" s="71"/>
    </row>
    <row r="15" spans="1:72" s="1" customFormat="1" x14ac:dyDescent="0.25">
      <c r="A15" s="157">
        <v>42083</v>
      </c>
      <c r="B15" s="159" t="s">
        <v>14</v>
      </c>
      <c r="C15" s="163" t="s">
        <v>366</v>
      </c>
      <c r="D15" s="73" t="s">
        <v>73</v>
      </c>
      <c r="E15" s="73" t="s">
        <v>285</v>
      </c>
      <c r="F15" s="150" t="s">
        <v>361</v>
      </c>
      <c r="G15" s="150" t="s">
        <v>355</v>
      </c>
      <c r="H15" s="175" t="s">
        <v>359</v>
      </c>
      <c r="I15" s="172" t="s">
        <v>360</v>
      </c>
      <c r="J15" s="57">
        <v>32910801</v>
      </c>
      <c r="K15" s="44"/>
      <c r="L15" s="45"/>
      <c r="M15" s="45"/>
      <c r="N15" s="45"/>
      <c r="O15" s="69"/>
      <c r="P15" s="69"/>
      <c r="Q15" s="69"/>
      <c r="R15" s="69"/>
      <c r="S15" s="69"/>
      <c r="T15" s="69"/>
      <c r="U15" s="44" t="s">
        <v>362</v>
      </c>
      <c r="V15" s="68"/>
      <c r="W15" s="44"/>
      <c r="X15" s="68"/>
      <c r="Y15" s="140" t="s">
        <v>363</v>
      </c>
      <c r="Z15" s="68"/>
      <c r="AA15" s="44" t="s">
        <v>364</v>
      </c>
      <c r="AB15" s="44"/>
      <c r="AC15" s="141"/>
      <c r="AD15" s="57"/>
      <c r="AE15" s="57"/>
      <c r="AF15" s="57"/>
      <c r="AG15" s="57"/>
      <c r="AH15" s="57"/>
      <c r="AI15" s="57"/>
      <c r="AJ15" s="43"/>
      <c r="AK15" s="140"/>
      <c r="AL15" s="57"/>
      <c r="AM15" s="57"/>
      <c r="AN15" s="57"/>
      <c r="AO15" s="44" t="s">
        <v>365</v>
      </c>
      <c r="AP15" s="173">
        <v>75.709999999999994</v>
      </c>
      <c r="AQ15" s="42">
        <f t="shared" si="3"/>
        <v>170.51801801801801</v>
      </c>
      <c r="AR15" s="179" t="s">
        <v>377</v>
      </c>
      <c r="AS15" s="180" t="s">
        <v>378</v>
      </c>
      <c r="AT15" s="183"/>
      <c r="AU15" s="183"/>
      <c r="AV15" s="183"/>
      <c r="AW15" s="183">
        <v>2.76</v>
      </c>
      <c r="AX15" s="183">
        <v>5.24</v>
      </c>
      <c r="AY15" s="97"/>
      <c r="AZ15" s="218" t="s">
        <v>84</v>
      </c>
      <c r="BA15" s="218"/>
      <c r="BB15" s="218"/>
      <c r="BC15" s="218"/>
      <c r="BD15" s="218"/>
      <c r="BE15" s="111">
        <v>3.75</v>
      </c>
      <c r="BF15" s="111">
        <v>3.75</v>
      </c>
      <c r="BG15" s="111">
        <v>10.5</v>
      </c>
      <c r="BH15" s="184">
        <f t="shared" si="8"/>
        <v>8.544921875E-2</v>
      </c>
      <c r="BI15" s="111">
        <v>0.55000000000000004</v>
      </c>
      <c r="BJ15" s="182" t="s">
        <v>64</v>
      </c>
      <c r="BK15" s="49">
        <v>1</v>
      </c>
      <c r="BL15" s="49">
        <v>120</v>
      </c>
      <c r="BM15" s="49">
        <v>4</v>
      </c>
      <c r="BN15" s="49">
        <f t="shared" si="9"/>
        <v>480</v>
      </c>
      <c r="BO15" s="49">
        <f t="shared" si="10"/>
        <v>314</v>
      </c>
      <c r="BP15" s="175" t="s">
        <v>374</v>
      </c>
      <c r="BQ15" s="49" t="s">
        <v>67</v>
      </c>
      <c r="BR15" s="71"/>
      <c r="BS15" s="71"/>
      <c r="BT15" s="71"/>
    </row>
    <row r="16" spans="1:72" s="1" customFormat="1" x14ac:dyDescent="0.25">
      <c r="A16" s="157">
        <v>42083</v>
      </c>
      <c r="B16" s="159" t="s">
        <v>14</v>
      </c>
      <c r="C16" s="163" t="s">
        <v>367</v>
      </c>
      <c r="D16" s="73" t="s">
        <v>73</v>
      </c>
      <c r="E16" s="73" t="s">
        <v>285</v>
      </c>
      <c r="F16" s="150" t="s">
        <v>369</v>
      </c>
      <c r="G16" s="150" t="s">
        <v>369</v>
      </c>
      <c r="H16" s="175" t="s">
        <v>368</v>
      </c>
      <c r="I16" s="172"/>
      <c r="J16" s="57"/>
      <c r="K16" s="44"/>
      <c r="L16" s="45"/>
      <c r="M16" s="45"/>
      <c r="N16" s="45"/>
      <c r="O16" s="69"/>
      <c r="P16" s="69"/>
      <c r="Q16" s="69"/>
      <c r="R16" s="69"/>
      <c r="S16" s="69"/>
      <c r="T16" s="43"/>
      <c r="U16" s="44"/>
      <c r="V16" s="68"/>
      <c r="W16" s="44"/>
      <c r="X16" s="68"/>
      <c r="Y16" s="140"/>
      <c r="Z16" s="68"/>
      <c r="AA16" s="44"/>
      <c r="AB16" s="44"/>
      <c r="AC16" s="141"/>
      <c r="AD16" s="57"/>
      <c r="AE16" s="57"/>
      <c r="AF16" s="57"/>
      <c r="AG16" s="57"/>
      <c r="AH16" s="57"/>
      <c r="AI16" s="57"/>
      <c r="AJ16" s="43"/>
      <c r="AK16" s="140"/>
      <c r="AL16" s="57"/>
      <c r="AM16" s="57"/>
      <c r="AN16" s="44"/>
      <c r="AO16" s="44" t="s">
        <v>370</v>
      </c>
      <c r="AP16" s="44">
        <v>180.13</v>
      </c>
      <c r="AQ16" s="42">
        <f t="shared" si="3"/>
        <v>405.69819819819816</v>
      </c>
      <c r="AR16" s="179" t="s">
        <v>372</v>
      </c>
      <c r="AS16" s="180" t="s">
        <v>373</v>
      </c>
      <c r="AT16" s="183"/>
      <c r="AU16" s="183"/>
      <c r="AV16" s="183"/>
      <c r="AW16" s="183">
        <v>1.63</v>
      </c>
      <c r="AX16" s="183">
        <v>3.54</v>
      </c>
      <c r="AY16" s="97"/>
      <c r="AZ16" s="218" t="s">
        <v>84</v>
      </c>
      <c r="BA16" s="218"/>
      <c r="BB16" s="218"/>
      <c r="BC16" s="218"/>
      <c r="BD16" s="218"/>
      <c r="BE16" s="111">
        <v>3.375</v>
      </c>
      <c r="BF16" s="111">
        <v>3.375</v>
      </c>
      <c r="BG16" s="111">
        <v>5</v>
      </c>
      <c r="BH16" s="184">
        <f>(BG16*BF16*BE16)/1728</f>
        <v>3.2958984375E-2</v>
      </c>
      <c r="BI16" s="111">
        <v>1.85</v>
      </c>
      <c r="BJ16" s="60" t="s">
        <v>64</v>
      </c>
      <c r="BK16" s="49">
        <v>1</v>
      </c>
      <c r="BL16" s="49">
        <v>357</v>
      </c>
      <c r="BM16" s="49">
        <v>9</v>
      </c>
      <c r="BN16" s="49">
        <f>BK16*BL16*BM16</f>
        <v>3213</v>
      </c>
      <c r="BO16" s="49">
        <f>(BI16*BL16*BM16)+50</f>
        <v>5994.05</v>
      </c>
      <c r="BP16" s="175" t="s">
        <v>374</v>
      </c>
      <c r="BQ16" s="49" t="s">
        <v>67</v>
      </c>
      <c r="BR16" s="71"/>
      <c r="BS16" s="71"/>
      <c r="BT16" s="71"/>
    </row>
    <row r="17" spans="1:72" s="1" customFormat="1" ht="30" x14ac:dyDescent="0.25">
      <c r="A17" s="157">
        <v>42083</v>
      </c>
      <c r="B17" s="43" t="s">
        <v>14</v>
      </c>
      <c r="C17" s="176" t="s">
        <v>301</v>
      </c>
      <c r="D17" s="73" t="s">
        <v>73</v>
      </c>
      <c r="E17" s="73" t="s">
        <v>331</v>
      </c>
      <c r="F17" s="150" t="s">
        <v>332</v>
      </c>
      <c r="G17" s="172" t="s">
        <v>339</v>
      </c>
      <c r="H17" s="57" t="s">
        <v>338</v>
      </c>
      <c r="I17" s="172"/>
      <c r="J17" s="57"/>
      <c r="K17" s="44"/>
      <c r="L17" s="45"/>
      <c r="M17" s="45"/>
      <c r="N17" s="45"/>
      <c r="O17" s="69"/>
      <c r="P17" s="69"/>
      <c r="Q17" s="69"/>
      <c r="R17" s="69"/>
      <c r="S17" s="69"/>
      <c r="T17" s="69"/>
      <c r="U17" s="44"/>
      <c r="V17" s="68"/>
      <c r="W17" s="44"/>
      <c r="X17" s="68"/>
      <c r="Y17" s="140"/>
      <c r="Z17" s="68"/>
      <c r="AA17" s="44"/>
      <c r="AB17" s="44"/>
      <c r="AC17" s="141"/>
      <c r="AD17" s="57"/>
      <c r="AE17" s="57"/>
      <c r="AF17" s="57"/>
      <c r="AG17" s="57"/>
      <c r="AH17" s="57"/>
      <c r="AI17" s="57"/>
      <c r="AJ17" s="43"/>
      <c r="AK17" s="140"/>
      <c r="AL17" s="57"/>
      <c r="AM17" s="57"/>
      <c r="AN17" s="57"/>
      <c r="AO17" s="44"/>
      <c r="AP17" s="173">
        <v>35.011929460580916</v>
      </c>
      <c r="AQ17" s="42">
        <f t="shared" si="3"/>
        <v>78.855696983290343</v>
      </c>
      <c r="AR17" s="95" t="s">
        <v>380</v>
      </c>
      <c r="AS17" s="96">
        <v>10038568741551</v>
      </c>
      <c r="AT17" s="97"/>
      <c r="AU17" s="97"/>
      <c r="AV17" s="97"/>
      <c r="AW17" s="184">
        <v>2.76</v>
      </c>
      <c r="AX17" s="184">
        <v>5.22</v>
      </c>
      <c r="AY17" s="184">
        <v>0.83</v>
      </c>
      <c r="AZ17" s="215" t="s">
        <v>84</v>
      </c>
      <c r="BA17" s="216"/>
      <c r="BB17" s="216"/>
      <c r="BC17" s="216"/>
      <c r="BD17" s="217"/>
      <c r="BE17" s="185">
        <f>9.13+(0.125*2)</f>
        <v>9.3800000000000008</v>
      </c>
      <c r="BF17" s="185">
        <f>6.25+(0.125*2)</f>
        <v>6.5</v>
      </c>
      <c r="BG17" s="185">
        <f>6.88+(0.125*4)</f>
        <v>7.38</v>
      </c>
      <c r="BH17" s="184">
        <f t="shared" ref="BH17:BH19" si="11">(BG17*BF17*BE17)/1728</f>
        <v>0.26039270833333333</v>
      </c>
      <c r="BI17" s="74">
        <f>(0.2*6)+0.25</f>
        <v>1.4500000000000002</v>
      </c>
      <c r="BJ17" s="186" t="s">
        <v>68</v>
      </c>
      <c r="BK17" s="186">
        <v>6</v>
      </c>
      <c r="BL17" s="186">
        <v>30</v>
      </c>
      <c r="BM17" s="186">
        <v>6</v>
      </c>
      <c r="BN17" s="49">
        <f t="shared" ref="BN17:BN19" si="12">BK17*BL17*BM17</f>
        <v>1080</v>
      </c>
      <c r="BO17" s="49">
        <f t="shared" ref="BO17:BO19" si="13">(BI17*BL17*BM17)+50</f>
        <v>311.00000000000006</v>
      </c>
      <c r="BP17" s="186" t="s">
        <v>69</v>
      </c>
      <c r="BQ17" s="49" t="s">
        <v>67</v>
      </c>
      <c r="BR17" s="71"/>
      <c r="BS17" s="71"/>
      <c r="BT17" s="71"/>
    </row>
    <row r="18" spans="1:72" s="1" customFormat="1" ht="30" x14ac:dyDescent="0.25">
      <c r="A18" s="157">
        <v>42083</v>
      </c>
      <c r="B18" s="43" t="s">
        <v>14</v>
      </c>
      <c r="C18" s="166" t="s">
        <v>304</v>
      </c>
      <c r="D18" s="73" t="s">
        <v>73</v>
      </c>
      <c r="E18" s="73" t="s">
        <v>331</v>
      </c>
      <c r="F18" s="177" t="s">
        <v>344</v>
      </c>
      <c r="G18" s="172" t="s">
        <v>266</v>
      </c>
      <c r="H18" s="57" t="s">
        <v>342</v>
      </c>
      <c r="I18" s="172" t="s">
        <v>72</v>
      </c>
      <c r="J18" s="57" t="s">
        <v>343</v>
      </c>
      <c r="K18" s="44"/>
      <c r="L18" s="45"/>
      <c r="M18" s="45"/>
      <c r="N18" s="45"/>
      <c r="O18" s="69"/>
      <c r="P18" s="69"/>
      <c r="Q18" s="69"/>
      <c r="R18" s="69"/>
      <c r="S18" s="69"/>
      <c r="T18" s="69"/>
      <c r="U18" s="44" t="s">
        <v>323</v>
      </c>
      <c r="V18" s="68"/>
      <c r="W18" s="44"/>
      <c r="X18" s="68"/>
      <c r="Y18" s="44" t="s">
        <v>326</v>
      </c>
      <c r="Z18" s="68"/>
      <c r="AA18" s="44" t="s">
        <v>324</v>
      </c>
      <c r="AB18" s="44" t="s">
        <v>325</v>
      </c>
      <c r="AC18" s="141"/>
      <c r="AD18" s="57"/>
      <c r="AE18" s="57"/>
      <c r="AF18" s="57"/>
      <c r="AG18" s="57"/>
      <c r="AH18" s="57"/>
      <c r="AI18" s="57"/>
      <c r="AJ18" s="43"/>
      <c r="AK18" s="140"/>
      <c r="AL18" s="57"/>
      <c r="AM18" s="57"/>
      <c r="AN18" s="57"/>
      <c r="AO18" s="44">
        <v>57899</v>
      </c>
      <c r="AP18" s="181">
        <v>8.25</v>
      </c>
      <c r="AQ18" s="42">
        <f t="shared" si="3"/>
        <v>18.581081081081081</v>
      </c>
      <c r="AR18" s="95" t="s">
        <v>381</v>
      </c>
      <c r="AS18" s="96">
        <v>10038568742176</v>
      </c>
      <c r="AT18" s="97"/>
      <c r="AU18" s="97"/>
      <c r="AV18" s="97"/>
      <c r="AW18" s="184">
        <v>3.65</v>
      </c>
      <c r="AX18" s="184">
        <v>3.6360000000000001</v>
      </c>
      <c r="AY18" s="184">
        <v>2.4209999999999998</v>
      </c>
      <c r="AZ18" s="74">
        <f>3.81+(0.018*2)</f>
        <v>3.8460000000000001</v>
      </c>
      <c r="BA18" s="74">
        <f>3.81+(0.018*2)</f>
        <v>3.8460000000000001</v>
      </c>
      <c r="BB18" s="74">
        <f>4+(0.018*4)</f>
        <v>4.0720000000000001</v>
      </c>
      <c r="BC18" s="83">
        <f t="shared" ref="BC18:BC19" si="14">(BB18*BA18*AZ18)/1728</f>
        <v>3.4856404833333333E-2</v>
      </c>
      <c r="BD18" s="74">
        <f>0.89+0.1</f>
        <v>0.99</v>
      </c>
      <c r="BE18" s="185">
        <f>15.56+(0.125*2)</f>
        <v>15.81</v>
      </c>
      <c r="BF18" s="185">
        <f>11.68+(0.125*2)</f>
        <v>11.93</v>
      </c>
      <c r="BG18" s="185">
        <f>4.12+(0.125*4)</f>
        <v>4.62</v>
      </c>
      <c r="BH18" s="184">
        <f t="shared" si="11"/>
        <v>0.50427861458333334</v>
      </c>
      <c r="BI18" s="74">
        <f>(BD18*12)+0.25</f>
        <v>12.129999999999999</v>
      </c>
      <c r="BJ18" s="186" t="s">
        <v>68</v>
      </c>
      <c r="BK18" s="186">
        <v>12</v>
      </c>
      <c r="BL18" s="186">
        <v>10</v>
      </c>
      <c r="BM18" s="186">
        <v>9</v>
      </c>
      <c r="BN18" s="49">
        <f t="shared" si="12"/>
        <v>1080</v>
      </c>
      <c r="BO18" s="49">
        <f t="shared" si="13"/>
        <v>1141.6999999999998</v>
      </c>
      <c r="BP18" s="186" t="s">
        <v>62</v>
      </c>
      <c r="BQ18" s="49" t="s">
        <v>67</v>
      </c>
      <c r="BR18" s="71"/>
      <c r="BS18" s="71"/>
      <c r="BT18" s="71"/>
    </row>
    <row r="19" spans="1:72" s="1" customFormat="1" ht="45" x14ac:dyDescent="0.25">
      <c r="A19" s="157">
        <v>42083</v>
      </c>
      <c r="B19" s="43" t="s">
        <v>14</v>
      </c>
      <c r="C19" s="166" t="s">
        <v>305</v>
      </c>
      <c r="D19" s="73" t="s">
        <v>73</v>
      </c>
      <c r="E19" s="73" t="s">
        <v>331</v>
      </c>
      <c r="F19" s="177" t="s">
        <v>347</v>
      </c>
      <c r="G19" s="172" t="s">
        <v>72</v>
      </c>
      <c r="H19" s="57" t="s">
        <v>345</v>
      </c>
      <c r="I19" s="172" t="s">
        <v>51</v>
      </c>
      <c r="J19" s="57" t="s">
        <v>346</v>
      </c>
      <c r="K19" s="44"/>
      <c r="L19" s="45"/>
      <c r="M19" s="45"/>
      <c r="N19" s="45"/>
      <c r="O19" s="69"/>
      <c r="P19" s="69"/>
      <c r="Q19" s="69"/>
      <c r="R19" s="69"/>
      <c r="S19" s="69"/>
      <c r="T19" s="69"/>
      <c r="U19" s="44" t="s">
        <v>327</v>
      </c>
      <c r="V19" s="68"/>
      <c r="W19" s="44"/>
      <c r="X19" s="68"/>
      <c r="Y19" s="140" t="s">
        <v>328</v>
      </c>
      <c r="Z19" s="68"/>
      <c r="AA19" s="44" t="s">
        <v>329</v>
      </c>
      <c r="AB19" s="178" t="s">
        <v>330</v>
      </c>
      <c r="AC19" s="141"/>
      <c r="AD19" s="57"/>
      <c r="AE19" s="57"/>
      <c r="AF19" s="57"/>
      <c r="AG19" s="57"/>
      <c r="AH19" s="57"/>
      <c r="AI19" s="57"/>
      <c r="AJ19" s="43"/>
      <c r="AK19" s="140"/>
      <c r="AL19" s="57"/>
      <c r="AM19" s="57"/>
      <c r="AN19" s="57"/>
      <c r="AO19" s="44">
        <v>57301</v>
      </c>
      <c r="AP19" s="181">
        <v>8.9499999999999993</v>
      </c>
      <c r="AQ19" s="42">
        <f t="shared" si="3"/>
        <v>20.157657657657655</v>
      </c>
      <c r="AR19" s="95" t="s">
        <v>382</v>
      </c>
      <c r="AS19" s="96">
        <v>10038568742237</v>
      </c>
      <c r="AT19" s="97"/>
      <c r="AU19" s="97"/>
      <c r="AV19" s="97"/>
      <c r="AW19" s="184">
        <v>2.96</v>
      </c>
      <c r="AX19" s="184">
        <v>4.8159999999999998</v>
      </c>
      <c r="AY19" s="184">
        <v>2.39</v>
      </c>
      <c r="AZ19" s="74">
        <f>3.15+(0.018*2)</f>
        <v>3.1859999999999999</v>
      </c>
      <c r="BA19" s="74">
        <f>3.156+(0.018*2)</f>
        <v>3.1920000000000002</v>
      </c>
      <c r="BB19" s="74">
        <f>4.875+(0.018*4)</f>
        <v>4.9470000000000001</v>
      </c>
      <c r="BC19" s="184">
        <f t="shared" si="14"/>
        <v>2.911433175E-2</v>
      </c>
      <c r="BD19" s="74">
        <f>0.67+0.1</f>
        <v>0.77</v>
      </c>
      <c r="BE19" s="185">
        <f>13+(0.125*2)</f>
        <v>13.25</v>
      </c>
      <c r="BF19" s="185">
        <f>9.75+(0.125*2)</f>
        <v>10</v>
      </c>
      <c r="BG19" s="185">
        <f>5+(0.125*4)</f>
        <v>5.5</v>
      </c>
      <c r="BH19" s="184">
        <f t="shared" si="11"/>
        <v>0.42173032407407407</v>
      </c>
      <c r="BI19" s="74">
        <f>(BD19*12)+0.25</f>
        <v>9.49</v>
      </c>
      <c r="BJ19" s="186" t="s">
        <v>68</v>
      </c>
      <c r="BK19" s="186">
        <v>12</v>
      </c>
      <c r="BL19" s="186">
        <v>14</v>
      </c>
      <c r="BM19" s="186">
        <v>8</v>
      </c>
      <c r="BN19" s="49">
        <f t="shared" si="12"/>
        <v>1344</v>
      </c>
      <c r="BO19" s="49">
        <f t="shared" si="13"/>
        <v>1112.8800000000001</v>
      </c>
      <c r="BP19" s="186" t="s">
        <v>62</v>
      </c>
      <c r="BQ19" s="49" t="s">
        <v>67</v>
      </c>
      <c r="BR19" s="71"/>
      <c r="BS19" s="71"/>
      <c r="BT19" s="71"/>
    </row>
    <row r="20" spans="1:72" s="21" customFormat="1" x14ac:dyDescent="0.25">
      <c r="C20" s="167" t="s">
        <v>379</v>
      </c>
      <c r="D20" s="18"/>
      <c r="E20" s="18"/>
      <c r="F20" s="18"/>
      <c r="G20" s="18"/>
      <c r="H20" s="14"/>
      <c r="I20" s="4"/>
      <c r="J20" s="4"/>
      <c r="K20" s="4"/>
      <c r="U20" s="4"/>
      <c r="AA20" s="4"/>
      <c r="AB20" s="4"/>
      <c r="AP20" s="19"/>
      <c r="AQ20" s="20"/>
      <c r="AR20" s="4"/>
      <c r="AZ20" s="13"/>
      <c r="BA20" s="13"/>
      <c r="BB20" s="13"/>
      <c r="BC20" s="4"/>
      <c r="BD20" s="13"/>
      <c r="BE20" s="13"/>
      <c r="BF20" s="13"/>
      <c r="BG20" s="13"/>
      <c r="BH20" s="4"/>
      <c r="BI20" s="13"/>
      <c r="BJ20" s="4"/>
      <c r="BK20" s="4"/>
      <c r="BP20" s="4"/>
      <c r="BQ20" s="14"/>
    </row>
    <row r="21" spans="1:72" ht="7.5" customHeight="1" x14ac:dyDescent="0.25">
      <c r="C21" s="160"/>
      <c r="D21" s="28"/>
      <c r="E21" s="28"/>
      <c r="F21" s="28"/>
      <c r="G21" s="28"/>
      <c r="H21" s="2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30"/>
      <c r="W21" s="30"/>
      <c r="X21" s="30"/>
      <c r="Y21" s="30"/>
      <c r="Z21" s="30"/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32"/>
      <c r="AR21" s="29"/>
      <c r="AS21" s="30"/>
      <c r="AT21" s="30"/>
      <c r="AU21" s="30"/>
      <c r="AV21" s="30"/>
      <c r="AW21" s="30"/>
      <c r="AX21" s="30"/>
      <c r="AY21" s="30"/>
      <c r="AZ21" s="33"/>
      <c r="BA21" s="33"/>
      <c r="BB21" s="33"/>
      <c r="BC21" s="29"/>
      <c r="BD21" s="33"/>
      <c r="BE21" s="33"/>
      <c r="BF21" s="33"/>
      <c r="BG21" s="33"/>
      <c r="BH21" s="29"/>
      <c r="BI21" s="33"/>
      <c r="BJ21" s="29"/>
      <c r="BK21" s="29"/>
      <c r="BL21" s="30"/>
      <c r="BM21" s="30"/>
      <c r="BN21" s="30"/>
      <c r="BO21" s="30"/>
      <c r="BP21" s="29"/>
      <c r="BQ21" s="34"/>
      <c r="BR21" s="30"/>
      <c r="BS21" s="21"/>
      <c r="BT21" s="21"/>
    </row>
    <row r="22" spans="1:72" ht="7.5" customHeight="1" x14ac:dyDescent="0.25">
      <c r="C22" s="15"/>
      <c r="D22" s="18"/>
      <c r="E22" s="18"/>
      <c r="F22" s="18"/>
      <c r="G22" s="18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V22" s="21"/>
      <c r="W22" s="21"/>
      <c r="X22" s="21"/>
      <c r="Y22" s="21"/>
      <c r="Z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9"/>
      <c r="AQ22" s="20"/>
      <c r="AS22" s="21"/>
      <c r="AT22" s="21"/>
      <c r="AU22" s="21"/>
      <c r="AV22" s="21"/>
      <c r="AW22" s="21"/>
      <c r="AX22" s="21"/>
      <c r="AY22" s="21"/>
      <c r="AZ22" s="13"/>
      <c r="BA22" s="13"/>
      <c r="BB22" s="13"/>
      <c r="BD22" s="13"/>
      <c r="BE22" s="13"/>
      <c r="BF22" s="13"/>
      <c r="BG22" s="13"/>
      <c r="BI22" s="13"/>
      <c r="BL22" s="21"/>
      <c r="BM22" s="21"/>
      <c r="BN22" s="21"/>
      <c r="BO22" s="21"/>
      <c r="BQ22" s="14"/>
      <c r="BR22" s="21"/>
      <c r="BS22" s="21"/>
      <c r="BT22" s="21"/>
    </row>
    <row r="23" spans="1:72" ht="23.25" x14ac:dyDescent="0.25">
      <c r="C23" s="15"/>
      <c r="D23" s="18"/>
      <c r="E23" s="18"/>
      <c r="F23" s="168" t="s">
        <v>215</v>
      </c>
      <c r="H23" s="18"/>
      <c r="V23" s="21"/>
      <c r="W23" s="21"/>
      <c r="X23" s="21"/>
      <c r="Z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9"/>
      <c r="AQ23" s="20"/>
      <c r="AS23" s="21"/>
      <c r="AT23" s="21"/>
      <c r="AU23" s="21"/>
      <c r="AV23" s="21"/>
      <c r="AW23" s="21"/>
      <c r="AX23" s="21"/>
      <c r="AY23" s="21"/>
      <c r="AZ23" s="13"/>
      <c r="BA23" s="13"/>
      <c r="BB23" s="13"/>
      <c r="BD23" s="13"/>
      <c r="BE23" s="13"/>
      <c r="BF23" s="13"/>
      <c r="BG23" s="13"/>
      <c r="BI23" s="13"/>
      <c r="BL23" s="21"/>
      <c r="BM23" s="21"/>
      <c r="BN23" s="21"/>
      <c r="BO23" s="21"/>
      <c r="BQ23" s="14"/>
      <c r="BR23" s="21"/>
      <c r="BS23" s="21"/>
      <c r="BT23" s="21"/>
    </row>
    <row r="24" spans="1:72" s="21" customFormat="1" x14ac:dyDescent="0.25">
      <c r="C24" s="15"/>
      <c r="D24" s="18"/>
      <c r="E24" s="18"/>
      <c r="F24" s="18"/>
      <c r="G24" s="18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9"/>
      <c r="AQ24" s="20"/>
      <c r="AR24" s="4"/>
      <c r="AS24" s="4"/>
      <c r="AT24" s="4"/>
      <c r="AU24" s="4"/>
      <c r="AV24" s="4"/>
      <c r="AW24" s="4"/>
      <c r="AX24" s="4"/>
      <c r="AY24" s="4"/>
      <c r="AZ24" s="13"/>
      <c r="BA24" s="13"/>
      <c r="BB24" s="13"/>
      <c r="BC24" s="4"/>
      <c r="BD24" s="13"/>
      <c r="BE24" s="13"/>
      <c r="BF24" s="13"/>
      <c r="BG24" s="13"/>
      <c r="BH24" s="4"/>
      <c r="BI24" s="13"/>
      <c r="BJ24" s="4"/>
      <c r="BK24" s="4"/>
      <c r="BL24" s="4"/>
      <c r="BM24" s="4"/>
      <c r="BP24" s="4"/>
      <c r="BQ24" s="14"/>
      <c r="BR24" s="4"/>
      <c r="BS24" s="4"/>
      <c r="BT24" s="4"/>
    </row>
    <row r="25" spans="1:72" x14ac:dyDescent="0.25">
      <c r="C25" s="15"/>
      <c r="D25" s="18"/>
      <c r="E25" s="18"/>
      <c r="F25" s="5" t="s">
        <v>75</v>
      </c>
      <c r="G25" s="7" t="s">
        <v>87</v>
      </c>
      <c r="H25" s="7" t="s">
        <v>76</v>
      </c>
      <c r="AP25" s="19"/>
      <c r="AQ25" s="20"/>
      <c r="AZ25" s="13"/>
      <c r="BA25" s="13"/>
      <c r="BB25" s="13"/>
      <c r="BD25" s="13"/>
      <c r="BE25" s="13"/>
      <c r="BF25" s="13"/>
      <c r="BG25" s="13"/>
      <c r="BI25" s="13"/>
      <c r="BN25" s="21"/>
      <c r="BO25" s="21"/>
      <c r="BQ25" s="14"/>
    </row>
    <row r="26" spans="1:72" x14ac:dyDescent="0.25">
      <c r="A26" s="157"/>
      <c r="B26" s="24"/>
      <c r="C26" s="46"/>
      <c r="D26" s="23"/>
      <c r="E26" s="51"/>
      <c r="F26" s="91"/>
      <c r="G26" s="58"/>
      <c r="H26" s="58"/>
      <c r="AP26" s="19"/>
      <c r="AQ26" s="20"/>
      <c r="AZ26" s="13"/>
      <c r="BA26" s="13"/>
      <c r="BB26" s="13"/>
      <c r="BD26" s="13"/>
      <c r="BE26" s="13"/>
      <c r="BF26" s="13"/>
      <c r="BG26" s="13"/>
      <c r="BI26" s="13"/>
      <c r="BN26" s="21"/>
      <c r="BO26" s="21"/>
      <c r="BQ26" s="14"/>
    </row>
    <row r="27" spans="1:72" x14ac:dyDescent="0.25">
      <c r="A27" s="157"/>
      <c r="B27" s="24"/>
      <c r="C27" s="24"/>
      <c r="D27" s="23"/>
      <c r="E27" s="23"/>
      <c r="F27" s="91"/>
      <c r="G27" s="155"/>
      <c r="H27" s="155"/>
      <c r="AP27" s="19"/>
      <c r="AQ27" s="20"/>
      <c r="AZ27" s="13"/>
      <c r="BA27" s="13"/>
      <c r="BB27" s="13"/>
      <c r="BD27" s="13"/>
      <c r="BE27" s="13"/>
      <c r="BF27" s="13"/>
      <c r="BG27" s="13"/>
      <c r="BI27" s="13"/>
      <c r="BN27" s="21"/>
      <c r="BO27" s="21"/>
      <c r="BQ27" s="14"/>
    </row>
    <row r="28" spans="1:72" x14ac:dyDescent="0.25">
      <c r="C28" s="54"/>
      <c r="D28" s="23"/>
      <c r="E28" s="23"/>
      <c r="F28" s="62"/>
      <c r="G28" s="58"/>
      <c r="H28" s="5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V28" s="21"/>
      <c r="W28" s="21"/>
      <c r="X28" s="21"/>
      <c r="Y28" s="21"/>
      <c r="Z28" s="21"/>
      <c r="AE28" s="21"/>
      <c r="AF28" s="21"/>
      <c r="AG28" s="21"/>
      <c r="AH28" s="21"/>
      <c r="AI28" s="21"/>
      <c r="AJ28" s="21"/>
      <c r="AM28" s="21"/>
      <c r="AN28" s="21"/>
      <c r="AO28" s="21"/>
      <c r="AP28" s="19"/>
      <c r="AQ28" s="20"/>
      <c r="AS28" s="21"/>
      <c r="AT28" s="21"/>
      <c r="AU28" s="21"/>
      <c r="AV28" s="21"/>
      <c r="AW28" s="21"/>
      <c r="AX28" s="21"/>
      <c r="AY28" s="21"/>
      <c r="AZ28" s="13"/>
      <c r="BA28" s="13"/>
      <c r="BB28" s="13"/>
      <c r="BD28" s="13"/>
      <c r="BE28" s="13"/>
      <c r="BF28" s="13"/>
      <c r="BG28" s="13"/>
      <c r="BI28" s="13"/>
      <c r="BL28" s="21"/>
      <c r="BM28" s="21"/>
      <c r="BN28" s="21"/>
      <c r="BO28" s="21"/>
      <c r="BQ28" s="14"/>
      <c r="BR28" s="21"/>
      <c r="BS28" s="21"/>
      <c r="BT28" s="21"/>
    </row>
    <row r="29" spans="1:72" x14ac:dyDescent="0.25">
      <c r="C29" s="15"/>
      <c r="D29" s="18"/>
      <c r="E29" s="18"/>
      <c r="F29" s="18"/>
      <c r="G29" s="18"/>
      <c r="H29" s="18"/>
      <c r="AQ29" s="20"/>
      <c r="AR29" s="21"/>
      <c r="BO29" s="21"/>
      <c r="BQ29" s="14"/>
    </row>
    <row r="30" spans="1:72" ht="7.5" customHeight="1" x14ac:dyDescent="0.25">
      <c r="C30" s="160"/>
      <c r="D30" s="28"/>
      <c r="E30" s="28"/>
      <c r="F30" s="28"/>
      <c r="G30" s="28"/>
      <c r="H30" s="2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V30" s="21"/>
      <c r="W30" s="21"/>
      <c r="X30" s="21"/>
      <c r="Y30" s="21"/>
      <c r="Z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19"/>
      <c r="AQ30" s="20"/>
      <c r="AS30" s="21"/>
      <c r="AT30" s="21"/>
      <c r="AU30" s="21"/>
      <c r="AV30" s="21"/>
      <c r="AW30" s="21"/>
      <c r="AX30" s="21"/>
      <c r="AY30" s="21"/>
      <c r="AZ30" s="13"/>
      <c r="BA30" s="13"/>
      <c r="BB30" s="13"/>
      <c r="BD30" s="13"/>
      <c r="BE30" s="13"/>
      <c r="BF30" s="13"/>
      <c r="BG30" s="13"/>
      <c r="BI30" s="13"/>
      <c r="BL30" s="21"/>
      <c r="BM30" s="21"/>
      <c r="BN30" s="21"/>
      <c r="BO30" s="21"/>
      <c r="BQ30" s="14"/>
      <c r="BR30" s="21"/>
      <c r="BS30" s="21"/>
      <c r="BT30" s="21"/>
    </row>
    <row r="31" spans="1:72" ht="7.5" customHeight="1" x14ac:dyDescent="0.25">
      <c r="C31" s="15"/>
      <c r="D31" s="18"/>
      <c r="E31" s="18"/>
      <c r="F31" s="18"/>
      <c r="G31" s="18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21"/>
      <c r="W31" s="21"/>
      <c r="X31" s="21"/>
      <c r="Y31" s="21"/>
      <c r="Z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19"/>
      <c r="AQ31" s="20"/>
      <c r="AS31" s="21"/>
      <c r="AT31" s="21"/>
      <c r="AU31" s="21"/>
      <c r="AV31" s="21"/>
      <c r="AW31" s="21"/>
      <c r="AX31" s="21"/>
      <c r="AY31" s="21"/>
      <c r="AZ31" s="13"/>
      <c r="BA31" s="13"/>
      <c r="BB31" s="13"/>
      <c r="BD31" s="13"/>
      <c r="BE31" s="13"/>
      <c r="BF31" s="13"/>
      <c r="BG31" s="13"/>
      <c r="BI31" s="13"/>
      <c r="BL31" s="21"/>
      <c r="BM31" s="21"/>
      <c r="BN31" s="21"/>
      <c r="BO31" s="21"/>
      <c r="BQ31" s="14"/>
      <c r="BR31" s="21"/>
      <c r="BS31" s="21"/>
      <c r="BT31" s="21"/>
    </row>
    <row r="32" spans="1:72" ht="23.25" x14ac:dyDescent="0.25">
      <c r="C32" s="15"/>
      <c r="D32" s="18"/>
      <c r="E32" s="18"/>
      <c r="F32" s="168" t="s">
        <v>79</v>
      </c>
      <c r="H32" s="18"/>
      <c r="AQ32" s="20"/>
      <c r="AR32" s="21"/>
      <c r="BO32" s="21"/>
      <c r="BQ32" s="14"/>
    </row>
    <row r="33" spans="2:72" ht="16.5" customHeight="1" x14ac:dyDescent="0.25">
      <c r="C33" s="15"/>
      <c r="D33" s="18"/>
      <c r="E33" s="18"/>
      <c r="F33" s="18"/>
      <c r="G33" s="26"/>
      <c r="H33" s="18"/>
      <c r="AQ33" s="20"/>
      <c r="AR33" s="21"/>
      <c r="BO33" s="21"/>
      <c r="BQ33" s="14"/>
    </row>
    <row r="34" spans="2:72" s="15" customFormat="1" x14ac:dyDescent="0.25">
      <c r="C34" s="4"/>
      <c r="D34" s="4"/>
      <c r="E34" s="4"/>
      <c r="F34" s="5" t="s">
        <v>77</v>
      </c>
      <c r="G34" s="39" t="s">
        <v>78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9"/>
      <c r="AQ34" s="20"/>
      <c r="AR34" s="21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21"/>
      <c r="BP34" s="4"/>
      <c r="BQ34" s="4"/>
      <c r="BR34" s="4"/>
      <c r="BS34" s="4"/>
      <c r="BT34" s="4"/>
    </row>
    <row r="35" spans="2:72" ht="36.75" customHeight="1" x14ac:dyDescent="0.25">
      <c r="B35" s="136"/>
      <c r="C35" s="142"/>
      <c r="D35" s="46"/>
      <c r="E35" s="143"/>
      <c r="F35" s="35"/>
      <c r="G35" s="35"/>
      <c r="H35" s="102"/>
      <c r="AP35" s="19"/>
      <c r="AQ35" s="20"/>
      <c r="AR35" s="21"/>
      <c r="BO35" s="21"/>
    </row>
    <row r="36" spans="2:72" x14ac:dyDescent="0.25">
      <c r="C36" s="36"/>
      <c r="D36" s="24"/>
      <c r="E36" s="54"/>
      <c r="F36" s="35"/>
      <c r="G36" s="35"/>
      <c r="H36" s="102"/>
      <c r="V36" s="21"/>
      <c r="W36" s="21"/>
      <c r="X36" s="21"/>
      <c r="Z36" s="21"/>
      <c r="AB36" s="21"/>
      <c r="AC36" s="21"/>
      <c r="AE36" s="21"/>
      <c r="AF36" s="21"/>
      <c r="AH36" s="21"/>
      <c r="AI36" s="21"/>
      <c r="AJ36" s="21"/>
      <c r="AK36" s="21"/>
      <c r="AL36" s="21"/>
      <c r="AM36" s="21"/>
      <c r="AN36" s="21"/>
      <c r="AO36" s="21"/>
      <c r="AP36" s="19"/>
      <c r="AQ36" s="20"/>
      <c r="AR36" s="21"/>
      <c r="AS36" s="21"/>
      <c r="AT36" s="21"/>
      <c r="AU36" s="21"/>
      <c r="AV36" s="21"/>
      <c r="AW36" s="21"/>
      <c r="AX36" s="21"/>
      <c r="AY36" s="21"/>
      <c r="BA36" s="21"/>
      <c r="BB36" s="21"/>
      <c r="BC36" s="21"/>
      <c r="BD36" s="21"/>
      <c r="BE36" s="21"/>
      <c r="BF36" s="21"/>
      <c r="BG36" s="21"/>
      <c r="BH36" s="21"/>
      <c r="BI36" s="21"/>
      <c r="BK36" s="21"/>
      <c r="BL36" s="21"/>
      <c r="BM36" s="21"/>
      <c r="BN36" s="21"/>
      <c r="BO36" s="21"/>
      <c r="BP36" s="21"/>
      <c r="BQ36" s="14"/>
      <c r="BR36" s="21"/>
      <c r="BS36" s="21"/>
      <c r="BT36" s="21"/>
    </row>
    <row r="37" spans="2:72" s="15" customFormat="1" x14ac:dyDescent="0.25">
      <c r="C37" s="142"/>
      <c r="D37" s="24"/>
      <c r="E37" s="24"/>
      <c r="F37" s="35"/>
      <c r="G37" s="101"/>
      <c r="H37" s="10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2:72" s="15" customFormat="1" x14ac:dyDescent="0.25">
      <c r="C38" s="142"/>
      <c r="D38" s="23"/>
      <c r="E38" s="24"/>
      <c r="F38" s="35"/>
      <c r="G38" s="101"/>
      <c r="H38" s="10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2:72" s="15" customFormat="1" x14ac:dyDescent="0.25">
      <c r="C39" s="21"/>
      <c r="D39" s="21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72" s="15" customFormat="1" x14ac:dyDescent="0.25">
      <c r="C40" s="21"/>
      <c r="D40" s="21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2:72" s="15" customFormat="1" x14ac:dyDescent="0.25">
      <c r="C41" s="21"/>
      <c r="D41" s="21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2:72" s="15" customFormat="1" x14ac:dyDescent="0.25">
      <c r="C42" s="21"/>
      <c r="D42" s="21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2:72" s="15" customFormat="1" x14ac:dyDescent="0.25">
      <c r="C43" s="21"/>
      <c r="D43" s="21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2:72" s="15" customFormat="1" x14ac:dyDescent="0.25">
      <c r="C44" s="21"/>
      <c r="D44" s="21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2:72" s="15" customFormat="1" x14ac:dyDescent="0.25">
      <c r="C45" s="21"/>
      <c r="D45" s="21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2:72" s="15" customFormat="1" x14ac:dyDescent="0.25">
      <c r="C46" s="21"/>
      <c r="D46" s="21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2:72" s="15" customFormat="1" x14ac:dyDescent="0.25">
      <c r="C47" s="21"/>
      <c r="D47" s="21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2:72" s="15" customFormat="1" x14ac:dyDescent="0.25">
      <c r="C48" s="21"/>
      <c r="D48" s="21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3:72" s="15" customFormat="1" x14ac:dyDescent="0.25">
      <c r="C49" s="21"/>
      <c r="D49" s="21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3:72" s="15" customFormat="1" x14ac:dyDescent="0.25">
      <c r="C50" s="21"/>
      <c r="D50" s="21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3:72" s="15" customFormat="1" x14ac:dyDescent="0.25">
      <c r="C51" s="21"/>
      <c r="D51" s="21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3:72" s="15" customFormat="1" x14ac:dyDescent="0.25">
      <c r="C52" s="21"/>
      <c r="D52" s="21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3:72" s="15" customFormat="1" x14ac:dyDescent="0.25">
      <c r="C53" s="21"/>
      <c r="D53" s="21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3:72" s="15" customFormat="1" x14ac:dyDescent="0.25">
      <c r="C54" s="21"/>
      <c r="D54" s="21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3:72" s="15" customFormat="1" x14ac:dyDescent="0.25">
      <c r="C55" s="21"/>
      <c r="D55" s="21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3:72" s="15" customFormat="1" x14ac:dyDescent="0.25">
      <c r="C56" s="21"/>
      <c r="D56" s="21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3:72" s="15" customFormat="1" x14ac:dyDescent="0.25">
      <c r="C57" s="21"/>
      <c r="D57" s="21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3:72" s="15" customFormat="1" x14ac:dyDescent="0.25">
      <c r="C58" s="21"/>
      <c r="D58" s="21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3:72" s="15" customFormat="1" x14ac:dyDescent="0.25">
      <c r="C59" s="21"/>
      <c r="D59" s="21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3:72" s="15" customFormat="1" x14ac:dyDescent="0.25">
      <c r="C60" s="21"/>
      <c r="D60" s="21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3:72" s="15" customFormat="1" x14ac:dyDescent="0.25">
      <c r="C61" s="21"/>
      <c r="D61" s="21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3:72" s="15" customFormat="1" x14ac:dyDescent="0.25">
      <c r="C62" s="21"/>
      <c r="D62" s="21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3:72" s="15" customFormat="1" x14ac:dyDescent="0.25">
      <c r="C63" s="21"/>
      <c r="D63" s="21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3:72" s="15" customFormat="1" x14ac:dyDescent="0.25">
      <c r="C64" s="21"/>
      <c r="D64" s="21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3:72" s="15" customFormat="1" x14ac:dyDescent="0.25">
      <c r="C65" s="21"/>
      <c r="D65" s="21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3:72" s="15" customFormat="1" x14ac:dyDescent="0.25">
      <c r="C66" s="21"/>
      <c r="D66" s="21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3:72" s="15" customFormat="1" x14ac:dyDescent="0.25">
      <c r="C67" s="21"/>
      <c r="D67" s="21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3:72" s="15" customFormat="1" x14ac:dyDescent="0.25">
      <c r="C68" s="21"/>
      <c r="D68" s="21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3:72" s="15" customFormat="1" x14ac:dyDescent="0.25">
      <c r="C69" s="21"/>
      <c r="D69" s="21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3:72" s="15" customFormat="1" x14ac:dyDescent="0.25">
      <c r="C70" s="21"/>
      <c r="D70" s="21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3:72" s="15" customFormat="1" x14ac:dyDescent="0.25">
      <c r="C71" s="21"/>
      <c r="D71" s="21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3:72" s="15" customFormat="1" x14ac:dyDescent="0.25">
      <c r="C72" s="21"/>
      <c r="D72" s="21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3:72" s="15" customFormat="1" x14ac:dyDescent="0.25">
      <c r="C73" s="21"/>
      <c r="D73" s="21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3:72" s="15" customFormat="1" x14ac:dyDescent="0.25">
      <c r="C74" s="21"/>
      <c r="D74" s="21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3:72" s="15" customFormat="1" x14ac:dyDescent="0.25">
      <c r="C75" s="21"/>
      <c r="D75" s="21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3:72" s="15" customFormat="1" x14ac:dyDescent="0.25">
      <c r="C76" s="21"/>
      <c r="D76" s="21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3:72" s="15" customFormat="1" x14ac:dyDescent="0.25">
      <c r="C77" s="21"/>
      <c r="D77" s="21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3:72" s="15" customFormat="1" x14ac:dyDescent="0.25">
      <c r="C78" s="21"/>
      <c r="D78" s="21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3:72" s="15" customFormat="1" x14ac:dyDescent="0.25">
      <c r="C79" s="21"/>
      <c r="D79" s="21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3:72" s="15" customFormat="1" x14ac:dyDescent="0.25">
      <c r="C80" s="21"/>
      <c r="D80" s="21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3:72" s="15" customFormat="1" x14ac:dyDescent="0.25">
      <c r="C81" s="21"/>
      <c r="D81" s="21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3:72" s="15" customFormat="1" x14ac:dyDescent="0.25">
      <c r="C82" s="21"/>
      <c r="D82" s="21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3:72" s="15" customFormat="1" x14ac:dyDescent="0.25">
      <c r="C83" s="21"/>
      <c r="D83" s="21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3:72" s="15" customFormat="1" x14ac:dyDescent="0.25">
      <c r="C84" s="21"/>
      <c r="D84" s="21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3:72" s="15" customFormat="1" x14ac:dyDescent="0.25">
      <c r="C85" s="21"/>
      <c r="D85" s="21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3:72" s="15" customFormat="1" x14ac:dyDescent="0.25">
      <c r="C86" s="21"/>
      <c r="D86" s="21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3:72" s="15" customFormat="1" x14ac:dyDescent="0.25">
      <c r="C87" s="21"/>
      <c r="D87" s="21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3:72" s="15" customFormat="1" x14ac:dyDescent="0.25">
      <c r="C88" s="21"/>
      <c r="D88" s="21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3:72" s="15" customFormat="1" x14ac:dyDescent="0.25">
      <c r="C89" s="21"/>
      <c r="D89" s="21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3:72" s="15" customFormat="1" x14ac:dyDescent="0.25">
      <c r="C90" s="21"/>
      <c r="D90" s="21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3:72" s="15" customFormat="1" x14ac:dyDescent="0.25">
      <c r="C91" s="21"/>
      <c r="D91" s="21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3:72" s="15" customFormat="1" x14ac:dyDescent="0.25">
      <c r="C92" s="21"/>
      <c r="D92" s="21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3:72" s="15" customFormat="1" x14ac:dyDescent="0.25">
      <c r="C93" s="21"/>
      <c r="D93" s="21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3:72" s="15" customFormat="1" x14ac:dyDescent="0.25">
      <c r="C94" s="21"/>
      <c r="D94" s="21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3:72" s="15" customFormat="1" x14ac:dyDescent="0.25">
      <c r="C95" s="21"/>
      <c r="D95" s="21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3:72" s="15" customFormat="1" x14ac:dyDescent="0.25">
      <c r="C96" s="21"/>
      <c r="D96" s="21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3:72" s="15" customFormat="1" x14ac:dyDescent="0.25">
      <c r="C97" s="21"/>
      <c r="D97" s="21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3:72" s="15" customFormat="1" x14ac:dyDescent="0.25">
      <c r="C98" s="21"/>
      <c r="D98" s="21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3:72" s="15" customFormat="1" x14ac:dyDescent="0.25">
      <c r="C99" s="21"/>
      <c r="D99" s="21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3:72" s="15" customFormat="1" x14ac:dyDescent="0.25">
      <c r="C100" s="21"/>
      <c r="D100" s="21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3:72" s="15" customFormat="1" x14ac:dyDescent="0.25">
      <c r="C101" s="21"/>
      <c r="D101" s="21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3:72" s="15" customFormat="1" x14ac:dyDescent="0.25">
      <c r="C102" s="21"/>
      <c r="D102" s="21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3:72" s="15" customFormat="1" x14ac:dyDescent="0.25">
      <c r="C103" s="21"/>
      <c r="D103" s="21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3:72" s="15" customFormat="1" x14ac:dyDescent="0.25">
      <c r="C104" s="21"/>
      <c r="D104" s="21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3:72" s="15" customFormat="1" x14ac:dyDescent="0.25">
      <c r="C105" s="21"/>
      <c r="D105" s="21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3:72" s="15" customFormat="1" x14ac:dyDescent="0.25">
      <c r="C106" s="21"/>
      <c r="D106" s="21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3:72" s="15" customFormat="1" x14ac:dyDescent="0.25">
      <c r="C107" s="21"/>
      <c r="D107" s="21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3:72" s="15" customFormat="1" x14ac:dyDescent="0.25">
      <c r="C108" s="21"/>
      <c r="D108" s="21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3:72" s="15" customFormat="1" x14ac:dyDescent="0.25">
      <c r="C109" s="21"/>
      <c r="D109" s="21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3:72" s="15" customFormat="1" x14ac:dyDescent="0.25">
      <c r="C110" s="21"/>
      <c r="D110" s="21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3:72" s="15" customFormat="1" x14ac:dyDescent="0.25">
      <c r="C111" s="21"/>
      <c r="D111" s="21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3:72" s="15" customFormat="1" x14ac:dyDescent="0.25">
      <c r="C112" s="21"/>
      <c r="D112" s="21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3:72" s="15" customFormat="1" x14ac:dyDescent="0.25">
      <c r="C113" s="21"/>
      <c r="D113" s="21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3:72" s="15" customFormat="1" x14ac:dyDescent="0.25">
      <c r="C114" s="21"/>
      <c r="D114" s="21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3:72" s="15" customFormat="1" x14ac:dyDescent="0.25">
      <c r="C115" s="21"/>
      <c r="D115" s="21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3:72" s="15" customFormat="1" x14ac:dyDescent="0.25">
      <c r="C116" s="21"/>
      <c r="D116" s="21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3:72" s="15" customFormat="1" x14ac:dyDescent="0.25">
      <c r="C117" s="21"/>
      <c r="D117" s="21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3:72" s="15" customFormat="1" x14ac:dyDescent="0.25">
      <c r="C118" s="21"/>
      <c r="D118" s="21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3:72" s="15" customFormat="1" x14ac:dyDescent="0.25">
      <c r="C119" s="21"/>
      <c r="D119" s="21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3:72" s="15" customFormat="1" x14ac:dyDescent="0.25">
      <c r="C120" s="21"/>
      <c r="D120" s="21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3:72" s="15" customFormat="1" x14ac:dyDescent="0.25">
      <c r="C121" s="21"/>
      <c r="D121" s="21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3:72" s="15" customFormat="1" x14ac:dyDescent="0.25">
      <c r="C122" s="21"/>
      <c r="D122" s="21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3:72" s="15" customFormat="1" x14ac:dyDescent="0.25">
      <c r="C123" s="21"/>
      <c r="D123" s="21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3:72" s="15" customFormat="1" x14ac:dyDescent="0.25">
      <c r="C124" s="21"/>
      <c r="D124" s="21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3:72" s="15" customFormat="1" x14ac:dyDescent="0.25">
      <c r="C125" s="21"/>
      <c r="D125" s="21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3:72" s="15" customFormat="1" x14ac:dyDescent="0.25">
      <c r="C126" s="21"/>
      <c r="D126" s="21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3:72" s="15" customFormat="1" x14ac:dyDescent="0.25">
      <c r="C127" s="21"/>
      <c r="D127" s="21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3:72" s="15" customFormat="1" x14ac:dyDescent="0.25">
      <c r="C128" s="21"/>
      <c r="D128" s="21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3:72" s="15" customFormat="1" x14ac:dyDescent="0.25">
      <c r="C129" s="21"/>
      <c r="D129" s="21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3:72" s="15" customFormat="1" x14ac:dyDescent="0.25">
      <c r="C130" s="21"/>
      <c r="D130" s="21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3:72" s="15" customFormat="1" x14ac:dyDescent="0.25">
      <c r="C131" s="21"/>
      <c r="D131" s="21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  <row r="132" spans="3:72" s="15" customFormat="1" x14ac:dyDescent="0.25">
      <c r="C132" s="21"/>
      <c r="D132" s="21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  <row r="133" spans="3:72" s="15" customFormat="1" x14ac:dyDescent="0.25">
      <c r="C133" s="21"/>
      <c r="D133" s="21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3:72" s="15" customFormat="1" x14ac:dyDescent="0.25">
      <c r="C134" s="21"/>
      <c r="D134" s="21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</row>
    <row r="135" spans="3:72" s="15" customFormat="1" x14ac:dyDescent="0.25">
      <c r="C135" s="21"/>
      <c r="D135" s="21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</row>
    <row r="136" spans="3:72" s="15" customFormat="1" x14ac:dyDescent="0.25">
      <c r="C136" s="21"/>
      <c r="D136" s="21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3:72" s="15" customFormat="1" x14ac:dyDescent="0.25">
      <c r="C137" s="21"/>
      <c r="D137" s="21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</row>
    <row r="138" spans="3:72" s="15" customFormat="1" x14ac:dyDescent="0.25">
      <c r="C138" s="21"/>
      <c r="D138" s="21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</row>
    <row r="139" spans="3:72" s="15" customFormat="1" x14ac:dyDescent="0.25">
      <c r="C139" s="21"/>
      <c r="D139" s="21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3:72" s="15" customFormat="1" x14ac:dyDescent="0.25">
      <c r="C140" s="21"/>
      <c r="D140" s="21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</row>
    <row r="141" spans="3:72" s="15" customFormat="1" x14ac:dyDescent="0.25">
      <c r="C141" s="21"/>
      <c r="D141" s="21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</row>
  </sheetData>
  <mergeCells count="12">
    <mergeCell ref="BJ4:BQ4"/>
    <mergeCell ref="AZ13:BD13"/>
    <mergeCell ref="AZ14:BD14"/>
    <mergeCell ref="AZ15:BD15"/>
    <mergeCell ref="AZ16:BD16"/>
    <mergeCell ref="BE4:BI4"/>
    <mergeCell ref="AZ17:BD17"/>
    <mergeCell ref="U4:AO4"/>
    <mergeCell ref="AP4:AQ4"/>
    <mergeCell ref="AR4:AS4"/>
    <mergeCell ref="AT4:AY4"/>
    <mergeCell ref="AZ4:BD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T131"/>
  <sheetViews>
    <sheetView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ColWidth="9.140625" defaultRowHeight="15" x14ac:dyDescent="0.25"/>
  <cols>
    <col min="1" max="1" width="9.7109375" style="4" hidden="1" customWidth="1"/>
    <col min="2" max="2" width="10.28515625" style="4" customWidth="1"/>
    <col min="3" max="3" width="12.28515625" style="21" bestFit="1" customWidth="1"/>
    <col min="4" max="4" width="8.7109375" style="21" bestFit="1" customWidth="1"/>
    <col min="5" max="5" width="29" style="4" customWidth="1"/>
    <col min="6" max="6" width="51" style="15" customWidth="1"/>
    <col min="7" max="7" width="22.7109375" style="4" customWidth="1"/>
    <col min="8" max="8" width="18.4257812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customWidth="1"/>
    <col min="42" max="42" width="13" style="4" customWidth="1"/>
    <col min="43" max="43" width="9.140625" style="4" customWidth="1"/>
    <col min="44" max="44" width="14.85546875" style="4" customWidth="1"/>
    <col min="45" max="45" width="17.140625" style="4" customWidth="1"/>
    <col min="46" max="46" width="11.5703125" style="4" bestFit="1" customWidth="1"/>
    <col min="47" max="47" width="11.140625" style="4" bestFit="1" customWidth="1"/>
    <col min="48" max="48" width="11.42578125" style="4" bestFit="1" customWidth="1"/>
    <col min="49" max="49" width="8.28515625" style="4" bestFit="1" customWidth="1"/>
    <col min="50" max="50" width="11.42578125" style="4" bestFit="1" customWidth="1"/>
    <col min="51" max="51" width="8.85546875" style="4" bestFit="1" customWidth="1"/>
    <col min="52" max="52" width="7" style="4" bestFit="1" customWidth="1"/>
    <col min="53" max="53" width="17.85546875" style="4" customWidth="1"/>
    <col min="54" max="54" width="6.85546875" style="4" bestFit="1" customWidth="1"/>
    <col min="55" max="55" width="6.7109375" style="4" customWidth="1"/>
    <col min="56" max="56" width="7.5703125" style="4" bestFit="1" customWidth="1"/>
    <col min="57" max="57" width="7" style="4" bestFit="1" customWidth="1"/>
    <col min="58" max="58" width="20.140625" style="4" bestFit="1" customWidth="1"/>
    <col min="59" max="59" width="6.85546875" style="4" bestFit="1" customWidth="1"/>
    <col min="60" max="60" width="5.5703125" style="4" bestFit="1" customWidth="1"/>
    <col min="61" max="61" width="7.5703125" style="4" bestFit="1" customWidth="1"/>
    <col min="62" max="62" width="17.85546875" style="4" customWidth="1"/>
    <col min="63" max="63" width="10.42578125" style="4" bestFit="1" customWidth="1"/>
    <col min="64" max="64" width="12" style="4" bestFit="1" customWidth="1"/>
    <col min="65" max="66" width="14.42578125" style="4" bestFit="1" customWidth="1"/>
    <col min="67" max="67" width="13.28515625" style="4" bestFit="1" customWidth="1"/>
    <col min="68" max="68" width="16.28515625" style="4" bestFit="1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16384" width="9.140625" style="4"/>
  </cols>
  <sheetData>
    <row r="2" spans="1:72" ht="23.25" x14ac:dyDescent="0.25">
      <c r="F2" s="2" t="s">
        <v>184</v>
      </c>
      <c r="H2" s="2"/>
      <c r="I2" s="3"/>
    </row>
    <row r="3" spans="1:72" ht="20.25" x14ac:dyDescent="0.25">
      <c r="F3" s="55">
        <v>42051</v>
      </c>
    </row>
    <row r="4" spans="1:72" ht="15.75" customHeight="1" x14ac:dyDescent="0.25">
      <c r="E4" s="16" t="s">
        <v>17</v>
      </c>
      <c r="G4" s="65"/>
      <c r="H4" s="65"/>
      <c r="I4" s="66" t="s">
        <v>15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209" t="s">
        <v>16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 t="s">
        <v>85</v>
      </c>
      <c r="AQ4" s="210"/>
      <c r="AR4" s="211" t="s">
        <v>19</v>
      </c>
      <c r="AS4" s="211"/>
      <c r="AT4" s="212" t="s">
        <v>91</v>
      </c>
      <c r="AU4" s="212"/>
      <c r="AV4" s="212"/>
      <c r="AW4" s="212"/>
      <c r="AX4" s="212"/>
      <c r="AY4" s="212"/>
      <c r="AZ4" s="213" t="s">
        <v>22</v>
      </c>
      <c r="BA4" s="213"/>
      <c r="BB4" s="213"/>
      <c r="BC4" s="213"/>
      <c r="BD4" s="213"/>
      <c r="BE4" s="208" t="s">
        <v>28</v>
      </c>
      <c r="BF4" s="208"/>
      <c r="BG4" s="208"/>
      <c r="BH4" s="208"/>
      <c r="BI4" s="208"/>
      <c r="BJ4" s="207" t="s">
        <v>34</v>
      </c>
      <c r="BK4" s="207"/>
      <c r="BL4" s="207"/>
      <c r="BM4" s="207"/>
      <c r="BN4" s="207"/>
      <c r="BO4" s="207"/>
      <c r="BP4" s="207"/>
      <c r="BQ4" s="207"/>
    </row>
    <row r="5" spans="1:72" x14ac:dyDescent="0.25">
      <c r="A5" s="156" t="s">
        <v>293</v>
      </c>
      <c r="B5" s="156" t="s">
        <v>294</v>
      </c>
      <c r="C5" s="17" t="s">
        <v>0</v>
      </c>
      <c r="D5" s="22" t="s">
        <v>83</v>
      </c>
      <c r="E5" s="17" t="s">
        <v>2</v>
      </c>
      <c r="F5" s="5" t="s">
        <v>1</v>
      </c>
      <c r="G5" s="6" t="s">
        <v>3</v>
      </c>
      <c r="H5" s="6" t="s">
        <v>7</v>
      </c>
      <c r="I5" s="6" t="s">
        <v>4</v>
      </c>
      <c r="J5" s="6" t="s">
        <v>6</v>
      </c>
      <c r="K5" s="6" t="s">
        <v>5</v>
      </c>
      <c r="L5" s="6" t="s">
        <v>56</v>
      </c>
      <c r="M5" s="6" t="s">
        <v>54</v>
      </c>
      <c r="N5" s="6" t="s">
        <v>57</v>
      </c>
      <c r="O5" s="6" t="s">
        <v>58</v>
      </c>
      <c r="P5" s="6" t="s">
        <v>59</v>
      </c>
      <c r="Q5" s="6" t="s">
        <v>60</v>
      </c>
      <c r="R5" s="6" t="s">
        <v>61</v>
      </c>
      <c r="S5" s="6" t="s">
        <v>80</v>
      </c>
      <c r="T5" s="6" t="s">
        <v>61</v>
      </c>
      <c r="U5" s="7" t="s">
        <v>8</v>
      </c>
      <c r="V5" s="7" t="s">
        <v>47</v>
      </c>
      <c r="W5" s="7" t="s">
        <v>9</v>
      </c>
      <c r="X5" s="7" t="s">
        <v>36</v>
      </c>
      <c r="Y5" s="7" t="s">
        <v>10</v>
      </c>
      <c r="Z5" s="7" t="s">
        <v>48</v>
      </c>
      <c r="AA5" s="7" t="s">
        <v>11</v>
      </c>
      <c r="AB5" s="7" t="s">
        <v>53</v>
      </c>
      <c r="AC5" s="7" t="s">
        <v>12</v>
      </c>
      <c r="AD5" s="7" t="s">
        <v>52</v>
      </c>
      <c r="AE5" s="7" t="s">
        <v>49</v>
      </c>
      <c r="AF5" s="7" t="s">
        <v>14</v>
      </c>
      <c r="AG5" s="7" t="s">
        <v>37</v>
      </c>
      <c r="AH5" s="7" t="s">
        <v>50</v>
      </c>
      <c r="AI5" s="7" t="s">
        <v>51</v>
      </c>
      <c r="AJ5" s="7" t="s">
        <v>46</v>
      </c>
      <c r="AK5" s="7" t="s">
        <v>38</v>
      </c>
      <c r="AL5" s="7" t="s">
        <v>86</v>
      </c>
      <c r="AM5" s="7" t="s">
        <v>39</v>
      </c>
      <c r="AN5" s="7" t="s">
        <v>40</v>
      </c>
      <c r="AO5" s="7" t="s">
        <v>13</v>
      </c>
      <c r="AP5" s="11" t="s">
        <v>20</v>
      </c>
      <c r="AQ5" s="11" t="s">
        <v>21</v>
      </c>
      <c r="AR5" s="8" t="s">
        <v>18</v>
      </c>
      <c r="AS5" s="8" t="s">
        <v>55</v>
      </c>
      <c r="AT5" s="70" t="s">
        <v>23</v>
      </c>
      <c r="AU5" s="70" t="s">
        <v>24</v>
      </c>
      <c r="AV5" s="70" t="s">
        <v>25</v>
      </c>
      <c r="AW5" s="70" t="s">
        <v>92</v>
      </c>
      <c r="AX5" s="70" t="s">
        <v>25</v>
      </c>
      <c r="AY5" s="70" t="s">
        <v>93</v>
      </c>
      <c r="AZ5" s="9" t="s">
        <v>23</v>
      </c>
      <c r="BA5" s="9" t="s">
        <v>24</v>
      </c>
      <c r="BB5" s="9" t="s">
        <v>25</v>
      </c>
      <c r="BC5" s="9" t="s">
        <v>26</v>
      </c>
      <c r="BD5" s="9" t="s">
        <v>27</v>
      </c>
      <c r="BE5" s="10" t="s">
        <v>23</v>
      </c>
      <c r="BF5" s="10" t="s">
        <v>24</v>
      </c>
      <c r="BG5" s="10" t="s">
        <v>25</v>
      </c>
      <c r="BH5" s="10" t="s">
        <v>26</v>
      </c>
      <c r="BI5" s="10" t="s">
        <v>27</v>
      </c>
      <c r="BJ5" s="11" t="s">
        <v>45</v>
      </c>
      <c r="BK5" s="12" t="s">
        <v>29</v>
      </c>
      <c r="BL5" s="12" t="s">
        <v>30</v>
      </c>
      <c r="BM5" s="12" t="s">
        <v>31</v>
      </c>
      <c r="BN5" s="12" t="s">
        <v>32</v>
      </c>
      <c r="BO5" s="12" t="s">
        <v>33</v>
      </c>
      <c r="BP5" s="12" t="s">
        <v>35</v>
      </c>
      <c r="BQ5" s="12" t="s">
        <v>44</v>
      </c>
      <c r="BR5" s="12" t="s">
        <v>41</v>
      </c>
      <c r="BS5" s="12" t="s">
        <v>42</v>
      </c>
      <c r="BT5" s="12" t="s">
        <v>43</v>
      </c>
    </row>
    <row r="6" spans="1:72" s="1" customFormat="1" ht="15" customHeight="1" x14ac:dyDescent="0.25">
      <c r="A6" s="157">
        <v>42051</v>
      </c>
      <c r="B6" s="154" t="s">
        <v>14</v>
      </c>
      <c r="C6" s="140" t="s">
        <v>219</v>
      </c>
      <c r="D6" s="73" t="s">
        <v>73</v>
      </c>
      <c r="E6" s="59" t="s">
        <v>156</v>
      </c>
      <c r="F6" s="150" t="s">
        <v>229</v>
      </c>
      <c r="G6" s="78" t="s">
        <v>227</v>
      </c>
      <c r="H6" s="35" t="s">
        <v>228</v>
      </c>
      <c r="I6" s="78"/>
      <c r="J6" s="35"/>
      <c r="K6" s="44"/>
      <c r="L6" s="45"/>
      <c r="M6" s="45"/>
      <c r="N6" s="45"/>
      <c r="O6" s="69"/>
      <c r="P6" s="69"/>
      <c r="Q6" s="69"/>
      <c r="R6" s="69"/>
      <c r="S6" s="69"/>
      <c r="T6" s="69"/>
      <c r="U6" s="89"/>
      <c r="V6" s="68"/>
      <c r="W6" s="44"/>
      <c r="X6" s="68"/>
      <c r="Y6" s="117"/>
      <c r="Z6" s="68"/>
      <c r="AA6" s="86" t="s">
        <v>230</v>
      </c>
      <c r="AB6" s="44"/>
      <c r="AC6" s="57"/>
      <c r="AD6" s="35"/>
      <c r="AE6" s="57"/>
      <c r="AF6" s="57"/>
      <c r="AG6" s="35"/>
      <c r="AH6" s="57"/>
      <c r="AI6" s="57"/>
      <c r="AJ6" s="43"/>
      <c r="AK6" s="57"/>
      <c r="AL6" s="57"/>
      <c r="AM6" s="57"/>
      <c r="AN6" s="57"/>
      <c r="AO6" s="86">
        <v>49227</v>
      </c>
      <c r="AP6" s="107">
        <v>16.940000000000001</v>
      </c>
      <c r="AQ6" s="42">
        <f>AP6/0.444</f>
        <v>38.153153153153156</v>
      </c>
      <c r="AR6" s="95" t="s">
        <v>238</v>
      </c>
      <c r="AS6" s="96">
        <v>10038568740400</v>
      </c>
      <c r="AT6" s="110">
        <v>6.67</v>
      </c>
      <c r="AU6" s="110">
        <v>6.67</v>
      </c>
      <c r="AV6" s="110">
        <v>3.19</v>
      </c>
      <c r="AW6" s="97"/>
      <c r="AX6" s="97"/>
      <c r="AY6" s="97"/>
      <c r="AZ6" s="215" t="s">
        <v>84</v>
      </c>
      <c r="BA6" s="216"/>
      <c r="BB6" s="216"/>
      <c r="BC6" s="216"/>
      <c r="BD6" s="217"/>
      <c r="BE6" s="145">
        <f>8.75+(0.125*2)</f>
        <v>9</v>
      </c>
      <c r="BF6" s="145">
        <f>8.75+(0.125*2)</f>
        <v>9</v>
      </c>
      <c r="BG6" s="145">
        <f>4+(0.125*4)</f>
        <v>4.5</v>
      </c>
      <c r="BH6" s="144">
        <f t="shared" ref="BH6:BH9" si="0">(BG6*BF6*BE6)/1728</f>
        <v>0.2109375</v>
      </c>
      <c r="BI6" s="74">
        <f>1.5+0.25</f>
        <v>1.75</v>
      </c>
      <c r="BJ6" s="146" t="s">
        <v>68</v>
      </c>
      <c r="BK6" s="146">
        <v>1</v>
      </c>
      <c r="BL6" s="146">
        <v>20</v>
      </c>
      <c r="BM6" s="146">
        <v>9</v>
      </c>
      <c r="BN6" s="49">
        <f t="shared" ref="BN6:BN9" si="1">BK6*BL6*BM6</f>
        <v>180</v>
      </c>
      <c r="BO6" s="49">
        <f t="shared" ref="BO6:BO9" si="2">(BI6*BL6*BM6)+50</f>
        <v>365</v>
      </c>
      <c r="BP6" s="146" t="s">
        <v>239</v>
      </c>
      <c r="BQ6" s="49" t="s">
        <v>67</v>
      </c>
      <c r="BR6" s="71"/>
      <c r="BS6" s="71"/>
      <c r="BT6" s="71"/>
    </row>
    <row r="7" spans="1:72" s="1" customFormat="1" x14ac:dyDescent="0.25">
      <c r="A7" s="157">
        <v>42051</v>
      </c>
      <c r="B7" s="154" t="s">
        <v>14</v>
      </c>
      <c r="C7" s="140" t="s">
        <v>220</v>
      </c>
      <c r="D7" s="73" t="s">
        <v>73</v>
      </c>
      <c r="E7" s="59" t="s">
        <v>221</v>
      </c>
      <c r="F7" s="150" t="s">
        <v>226</v>
      </c>
      <c r="G7" s="78" t="s">
        <v>224</v>
      </c>
      <c r="H7" s="35" t="s">
        <v>225</v>
      </c>
      <c r="I7" s="78"/>
      <c r="J7" s="35"/>
      <c r="K7" s="44"/>
      <c r="L7" s="45"/>
      <c r="M7" s="45"/>
      <c r="N7" s="45"/>
      <c r="O7" s="69"/>
      <c r="P7" s="69"/>
      <c r="Q7" s="69"/>
      <c r="R7" s="69"/>
      <c r="S7" s="69"/>
      <c r="T7" s="69"/>
      <c r="U7" s="89" t="s">
        <v>231</v>
      </c>
      <c r="V7" s="68"/>
      <c r="W7" s="44"/>
      <c r="X7" s="68"/>
      <c r="Y7" s="117"/>
      <c r="Z7" s="68"/>
      <c r="AA7" s="89"/>
      <c r="AB7" s="44"/>
      <c r="AC7" s="57"/>
      <c r="AD7" s="35"/>
      <c r="AE7" s="57"/>
      <c r="AF7" s="57"/>
      <c r="AG7" s="35"/>
      <c r="AH7" s="57"/>
      <c r="AI7" s="57"/>
      <c r="AJ7" s="43"/>
      <c r="AK7" s="57"/>
      <c r="AL7" s="57"/>
      <c r="AM7" s="57"/>
      <c r="AN7" s="57"/>
      <c r="AO7" s="89"/>
      <c r="AP7" s="107">
        <v>45.09</v>
      </c>
      <c r="AQ7" s="42">
        <f>AP7/0.444</f>
        <v>101.55405405405406</v>
      </c>
      <c r="AR7" s="95" t="s">
        <v>240</v>
      </c>
      <c r="AS7" s="96">
        <v>10038568741544</v>
      </c>
      <c r="AT7" s="110">
        <v>13.54</v>
      </c>
      <c r="AU7" s="110">
        <v>9.09</v>
      </c>
      <c r="AV7" s="110">
        <v>0.71</v>
      </c>
      <c r="AW7" s="97"/>
      <c r="AX7" s="97"/>
      <c r="AY7" s="97"/>
      <c r="AZ7" s="74">
        <v>14.5</v>
      </c>
      <c r="BA7" s="74">
        <v>11</v>
      </c>
      <c r="BB7" s="74">
        <v>3.62</v>
      </c>
      <c r="BC7" s="83">
        <f t="shared" ref="BC7:BC9" si="3">(BB7*BA7*AZ7)/1728</f>
        <v>0.33413773148148146</v>
      </c>
      <c r="BD7" s="74">
        <f>0.4</f>
        <v>0.4</v>
      </c>
      <c r="BE7" s="145">
        <f>14.5+(0.125*2)</f>
        <v>14.75</v>
      </c>
      <c r="BF7" s="145">
        <f>11+(0.125*2)</f>
        <v>11.25</v>
      </c>
      <c r="BG7" s="145">
        <f>3.62+(0.125*4)</f>
        <v>4.12</v>
      </c>
      <c r="BH7" s="144">
        <f t="shared" si="0"/>
        <v>0.39563802083333333</v>
      </c>
      <c r="BI7" s="74">
        <f>(BD7*3)+0.25</f>
        <v>1.4500000000000002</v>
      </c>
      <c r="BJ7" s="146" t="s">
        <v>68</v>
      </c>
      <c r="BK7" s="146">
        <v>3</v>
      </c>
      <c r="BL7" s="146">
        <v>10</v>
      </c>
      <c r="BM7" s="146">
        <v>10</v>
      </c>
      <c r="BN7" s="49">
        <f t="shared" si="1"/>
        <v>300</v>
      </c>
      <c r="BO7" s="49">
        <f t="shared" si="2"/>
        <v>195.00000000000003</v>
      </c>
      <c r="BP7" s="146" t="s">
        <v>69</v>
      </c>
      <c r="BQ7" s="49" t="s">
        <v>67</v>
      </c>
      <c r="BR7" s="71"/>
      <c r="BS7" s="71"/>
      <c r="BT7" s="71"/>
    </row>
    <row r="8" spans="1:72" s="1" customFormat="1" x14ac:dyDescent="0.25">
      <c r="A8" s="157">
        <v>42051</v>
      </c>
      <c r="B8" s="154" t="s">
        <v>36</v>
      </c>
      <c r="C8" s="140" t="s">
        <v>218</v>
      </c>
      <c r="D8" s="73" t="s">
        <v>216</v>
      </c>
      <c r="E8" s="59" t="s">
        <v>156</v>
      </c>
      <c r="F8" s="150" t="s">
        <v>223</v>
      </c>
      <c r="G8" s="78" t="s">
        <v>222</v>
      </c>
      <c r="H8" s="35">
        <v>96950990</v>
      </c>
      <c r="I8" s="78"/>
      <c r="J8" s="35"/>
      <c r="K8" s="44"/>
      <c r="L8" s="45"/>
      <c r="M8" s="45"/>
      <c r="N8" s="45"/>
      <c r="O8" s="69"/>
      <c r="P8" s="69"/>
      <c r="Q8" s="69"/>
      <c r="R8" s="69"/>
      <c r="S8" s="69"/>
      <c r="T8" s="69"/>
      <c r="U8" s="89"/>
      <c r="V8" s="68"/>
      <c r="W8" s="44"/>
      <c r="X8" s="68"/>
      <c r="Y8" s="117"/>
      <c r="Z8" s="68"/>
      <c r="AA8" s="89"/>
      <c r="AB8" s="44" t="s">
        <v>237</v>
      </c>
      <c r="AC8" s="141"/>
      <c r="AD8" s="35"/>
      <c r="AE8" s="35" t="s">
        <v>236</v>
      </c>
      <c r="AF8" s="57"/>
      <c r="AG8" s="35"/>
      <c r="AH8" s="35" t="s">
        <v>218</v>
      </c>
      <c r="AI8" s="57"/>
      <c r="AJ8" s="43"/>
      <c r="AK8" s="52" t="s">
        <v>232</v>
      </c>
      <c r="AL8" s="35" t="s">
        <v>234</v>
      </c>
      <c r="AM8" s="35" t="s">
        <v>235</v>
      </c>
      <c r="AN8" s="35" t="s">
        <v>233</v>
      </c>
      <c r="AO8" s="89">
        <v>49590</v>
      </c>
      <c r="AP8" s="139">
        <v>29.58</v>
      </c>
      <c r="AQ8" s="42">
        <f>AP8/0.444</f>
        <v>66.621621621621614</v>
      </c>
      <c r="AR8" s="95" t="s">
        <v>295</v>
      </c>
      <c r="AS8" s="96">
        <v>10038568315998</v>
      </c>
      <c r="AT8" s="110">
        <v>9.49</v>
      </c>
      <c r="AU8" s="110">
        <v>6.73</v>
      </c>
      <c r="AV8" s="110">
        <v>1.99</v>
      </c>
      <c r="AW8" s="97"/>
      <c r="AX8" s="97"/>
      <c r="AY8" s="97"/>
      <c r="AZ8" s="74">
        <f>7.44+(0.018*2)</f>
        <v>7.476</v>
      </c>
      <c r="BA8" s="74">
        <f>2.75+(0.018*2)</f>
        <v>2.786</v>
      </c>
      <c r="BB8" s="74">
        <f>9.5+(0.018*4)</f>
        <v>9.5719999999999992</v>
      </c>
      <c r="BC8" s="83">
        <f t="shared" ref="BC8" si="4">(BB8*BA8*AZ8)/1728</f>
        <v>0.11537437372222221</v>
      </c>
      <c r="BD8" s="74">
        <f>0.403+0.1</f>
        <v>0.503</v>
      </c>
      <c r="BE8" s="152">
        <f>10+(0.125*2)</f>
        <v>10.25</v>
      </c>
      <c r="BF8" s="152">
        <f>7.5+(0.125*2)</f>
        <v>7.75</v>
      </c>
      <c r="BG8" s="152">
        <f>10+(0.125*4)</f>
        <v>10.5</v>
      </c>
      <c r="BH8" s="151">
        <f t="shared" ref="BH8" si="5">(BG8*BF8*BE8)/1728</f>
        <v>0.4826931423611111</v>
      </c>
      <c r="BI8" s="74">
        <f>(BD8*3)+0.25</f>
        <v>1.7589999999999999</v>
      </c>
      <c r="BJ8" s="153" t="s">
        <v>68</v>
      </c>
      <c r="BK8" s="153">
        <v>3</v>
      </c>
      <c r="BL8" s="153">
        <v>22</v>
      </c>
      <c r="BM8" s="153">
        <v>4</v>
      </c>
      <c r="BN8" s="49">
        <f t="shared" ref="BN8" si="6">BK8*BL8*BM8</f>
        <v>264</v>
      </c>
      <c r="BO8" s="49">
        <f t="shared" ref="BO8" si="7">(BI8*BL8*BM8)+50</f>
        <v>204.792</v>
      </c>
      <c r="BP8" s="153" t="s">
        <v>217</v>
      </c>
      <c r="BQ8" s="49" t="s">
        <v>67</v>
      </c>
      <c r="BR8" s="71"/>
      <c r="BS8" s="71"/>
      <c r="BT8" s="71"/>
    </row>
    <row r="9" spans="1:72" s="1" customFormat="1" x14ac:dyDescent="0.25">
      <c r="A9" s="157">
        <v>42051</v>
      </c>
      <c r="B9" s="154" t="s">
        <v>14</v>
      </c>
      <c r="C9" s="140" t="s">
        <v>218</v>
      </c>
      <c r="D9" s="73" t="s">
        <v>216</v>
      </c>
      <c r="E9" s="59" t="s">
        <v>156</v>
      </c>
      <c r="F9" s="150" t="s">
        <v>223</v>
      </c>
      <c r="G9" s="78" t="s">
        <v>222</v>
      </c>
      <c r="H9" s="35">
        <v>96950990</v>
      </c>
      <c r="I9" s="78"/>
      <c r="J9" s="35"/>
      <c r="K9" s="44"/>
      <c r="L9" s="45"/>
      <c r="M9" s="45"/>
      <c r="N9" s="45"/>
      <c r="O9" s="69"/>
      <c r="P9" s="69"/>
      <c r="Q9" s="69"/>
      <c r="R9" s="69"/>
      <c r="S9" s="69"/>
      <c r="T9" s="69"/>
      <c r="U9" s="89"/>
      <c r="V9" s="68"/>
      <c r="W9" s="44"/>
      <c r="X9" s="68"/>
      <c r="Y9" s="117"/>
      <c r="Z9" s="68"/>
      <c r="AA9" s="89"/>
      <c r="AB9" s="44" t="s">
        <v>237</v>
      </c>
      <c r="AC9" s="141"/>
      <c r="AD9" s="35"/>
      <c r="AE9" s="35" t="s">
        <v>236</v>
      </c>
      <c r="AF9" s="57"/>
      <c r="AG9" s="35"/>
      <c r="AH9" s="35" t="s">
        <v>218</v>
      </c>
      <c r="AI9" s="57"/>
      <c r="AJ9" s="43"/>
      <c r="AK9" s="52" t="s">
        <v>232</v>
      </c>
      <c r="AL9" s="35" t="s">
        <v>234</v>
      </c>
      <c r="AM9" s="35" t="s">
        <v>235</v>
      </c>
      <c r="AN9" s="35" t="s">
        <v>233</v>
      </c>
      <c r="AO9" s="89">
        <v>49590</v>
      </c>
      <c r="AP9" s="139">
        <v>29.58</v>
      </c>
      <c r="AQ9" s="42">
        <f>AP9/0.444</f>
        <v>66.621621621621614</v>
      </c>
      <c r="AR9" s="95" t="s">
        <v>241</v>
      </c>
      <c r="AS9" s="96">
        <v>10038568742343</v>
      </c>
      <c r="AT9" s="110">
        <v>9.49</v>
      </c>
      <c r="AU9" s="110">
        <v>6.73</v>
      </c>
      <c r="AV9" s="110">
        <v>1.99</v>
      </c>
      <c r="AW9" s="97"/>
      <c r="AX9" s="97"/>
      <c r="AY9" s="97"/>
      <c r="AZ9" s="74">
        <f>7.44+(0.018*2)</f>
        <v>7.476</v>
      </c>
      <c r="BA9" s="74">
        <f>2.75+(0.018*2)</f>
        <v>2.786</v>
      </c>
      <c r="BB9" s="74">
        <f>9.5+(0.018*4)</f>
        <v>9.5719999999999992</v>
      </c>
      <c r="BC9" s="158">
        <f t="shared" si="3"/>
        <v>0.11537437372222221</v>
      </c>
      <c r="BD9" s="74">
        <f>0.403+0.1</f>
        <v>0.503</v>
      </c>
      <c r="BE9" s="145">
        <f>10+(0.125*2)</f>
        <v>10.25</v>
      </c>
      <c r="BF9" s="145">
        <f>7.5+(0.125*2)</f>
        <v>7.75</v>
      </c>
      <c r="BG9" s="145">
        <f>10+(0.125*4)</f>
        <v>10.5</v>
      </c>
      <c r="BH9" s="144">
        <f t="shared" si="0"/>
        <v>0.4826931423611111</v>
      </c>
      <c r="BI9" s="74">
        <f>(BD9*3)+0.25</f>
        <v>1.7589999999999999</v>
      </c>
      <c r="BJ9" s="146" t="s">
        <v>68</v>
      </c>
      <c r="BK9" s="146">
        <v>3</v>
      </c>
      <c r="BL9" s="146">
        <v>22</v>
      </c>
      <c r="BM9" s="146">
        <v>4</v>
      </c>
      <c r="BN9" s="49">
        <f t="shared" si="1"/>
        <v>264</v>
      </c>
      <c r="BO9" s="49">
        <f t="shared" si="2"/>
        <v>204.792</v>
      </c>
      <c r="BP9" s="146" t="s">
        <v>217</v>
      </c>
      <c r="BQ9" s="49" t="s">
        <v>67</v>
      </c>
      <c r="BR9" s="71"/>
      <c r="BS9" s="71"/>
      <c r="BT9" s="71"/>
    </row>
    <row r="10" spans="1:72" s="21" customFormat="1" x14ac:dyDescent="0.25">
      <c r="C10" s="18"/>
      <c r="D10" s="18"/>
      <c r="E10" s="18"/>
      <c r="F10" s="18"/>
      <c r="G10" s="18"/>
      <c r="H10" s="14"/>
      <c r="I10" s="4"/>
      <c r="J10" s="4"/>
      <c r="K10" s="4"/>
      <c r="U10" s="4"/>
      <c r="AA10" s="4"/>
      <c r="AB10" s="4"/>
      <c r="AP10" s="19"/>
      <c r="AQ10" s="20"/>
      <c r="AR10" s="4"/>
      <c r="AZ10" s="13"/>
      <c r="BA10" s="13"/>
      <c r="BB10" s="13"/>
      <c r="BC10" s="4"/>
      <c r="BD10" s="13"/>
      <c r="BE10" s="13"/>
      <c r="BF10" s="13"/>
      <c r="BG10" s="13"/>
      <c r="BH10" s="4"/>
      <c r="BI10" s="13"/>
      <c r="BJ10" s="4"/>
      <c r="BK10" s="4"/>
      <c r="BP10" s="4"/>
      <c r="BQ10" s="14"/>
    </row>
    <row r="11" spans="1:72" ht="7.5" customHeight="1" x14ac:dyDescent="0.25">
      <c r="C11" s="28"/>
      <c r="D11" s="28"/>
      <c r="E11" s="28"/>
      <c r="F11" s="28"/>
      <c r="G11" s="28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9"/>
      <c r="V11" s="30"/>
      <c r="W11" s="30"/>
      <c r="X11" s="30"/>
      <c r="Y11" s="30"/>
      <c r="Z11" s="30"/>
      <c r="AA11" s="2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32"/>
      <c r="AR11" s="29"/>
      <c r="AS11" s="30"/>
      <c r="AT11" s="30"/>
      <c r="AU11" s="30"/>
      <c r="AV11" s="30"/>
      <c r="AW11" s="30"/>
      <c r="AX11" s="30"/>
      <c r="AY11" s="30"/>
      <c r="AZ11" s="33"/>
      <c r="BA11" s="33"/>
      <c r="BB11" s="33"/>
      <c r="BC11" s="29"/>
      <c r="BD11" s="33"/>
      <c r="BE11" s="33"/>
      <c r="BF11" s="33"/>
      <c r="BG11" s="33"/>
      <c r="BH11" s="29"/>
      <c r="BI11" s="33"/>
      <c r="BJ11" s="29"/>
      <c r="BK11" s="29"/>
      <c r="BL11" s="30"/>
      <c r="BM11" s="30"/>
      <c r="BN11" s="30"/>
      <c r="BO11" s="30"/>
      <c r="BP11" s="29"/>
      <c r="BQ11" s="34"/>
      <c r="BR11" s="30"/>
      <c r="BS11" s="21"/>
      <c r="BT11" s="21"/>
    </row>
    <row r="12" spans="1:72" ht="7.5" customHeight="1" x14ac:dyDescent="0.25">
      <c r="C12" s="18"/>
      <c r="D12" s="18"/>
      <c r="E12" s="18"/>
      <c r="F12" s="18"/>
      <c r="G12" s="18"/>
      <c r="H12" s="1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V12" s="21"/>
      <c r="W12" s="21"/>
      <c r="X12" s="21"/>
      <c r="Y12" s="21"/>
      <c r="Z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19"/>
      <c r="AQ12" s="20"/>
      <c r="AS12" s="21"/>
      <c r="AT12" s="21"/>
      <c r="AU12" s="21"/>
      <c r="AV12" s="21"/>
      <c r="AW12" s="21"/>
      <c r="AX12" s="21"/>
      <c r="AY12" s="21"/>
      <c r="AZ12" s="13"/>
      <c r="BA12" s="13"/>
      <c r="BB12" s="13"/>
      <c r="BD12" s="13"/>
      <c r="BE12" s="13"/>
      <c r="BF12" s="13"/>
      <c r="BG12" s="13"/>
      <c r="BI12" s="13"/>
      <c r="BL12" s="21"/>
      <c r="BM12" s="21"/>
      <c r="BN12" s="21"/>
      <c r="BO12" s="21"/>
      <c r="BQ12" s="14"/>
      <c r="BR12" s="21"/>
      <c r="BS12" s="21"/>
      <c r="BT12" s="21"/>
    </row>
    <row r="13" spans="1:72" ht="23.25" x14ac:dyDescent="0.25">
      <c r="C13" s="18"/>
      <c r="D13" s="18"/>
      <c r="E13" s="18"/>
      <c r="F13" s="27" t="s">
        <v>215</v>
      </c>
      <c r="H13" s="18"/>
      <c r="V13" s="21"/>
      <c r="W13" s="21"/>
      <c r="X13" s="21"/>
      <c r="Z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19"/>
      <c r="AQ13" s="20"/>
      <c r="AS13" s="21"/>
      <c r="AT13" s="21"/>
      <c r="AU13" s="21"/>
      <c r="AV13" s="21"/>
      <c r="AW13" s="21"/>
      <c r="AX13" s="21"/>
      <c r="AY13" s="21"/>
      <c r="AZ13" s="13"/>
      <c r="BA13" s="13"/>
      <c r="BB13" s="13"/>
      <c r="BD13" s="13"/>
      <c r="BE13" s="13"/>
      <c r="BF13" s="13"/>
      <c r="BG13" s="13"/>
      <c r="BI13" s="13"/>
      <c r="BL13" s="21"/>
      <c r="BM13" s="21"/>
      <c r="BN13" s="21"/>
      <c r="BO13" s="21"/>
      <c r="BQ13" s="14"/>
      <c r="BR13" s="21"/>
      <c r="BS13" s="21"/>
      <c r="BT13" s="21"/>
    </row>
    <row r="14" spans="1:72" s="21" customFormat="1" x14ac:dyDescent="0.25">
      <c r="C14" s="18"/>
      <c r="D14" s="18"/>
      <c r="E14" s="18"/>
      <c r="F14" s="18"/>
      <c r="G14" s="18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9"/>
      <c r="AQ14" s="20"/>
      <c r="AR14" s="4"/>
      <c r="AS14" s="4"/>
      <c r="AT14" s="4"/>
      <c r="AU14" s="4"/>
      <c r="AV14" s="4"/>
      <c r="AW14" s="4"/>
      <c r="AX14" s="4"/>
      <c r="AY14" s="4"/>
      <c r="AZ14" s="13"/>
      <c r="BA14" s="13"/>
      <c r="BB14" s="13"/>
      <c r="BC14" s="4"/>
      <c r="BD14" s="13"/>
      <c r="BE14" s="13"/>
      <c r="BF14" s="13"/>
      <c r="BG14" s="13"/>
      <c r="BH14" s="4"/>
      <c r="BI14" s="13"/>
      <c r="BJ14" s="4"/>
      <c r="BK14" s="4"/>
      <c r="BL14" s="4"/>
      <c r="BM14" s="4"/>
      <c r="BP14" s="4"/>
      <c r="BQ14" s="14"/>
      <c r="BR14" s="4"/>
      <c r="BS14" s="4"/>
      <c r="BT14" s="4"/>
    </row>
    <row r="15" spans="1:72" x14ac:dyDescent="0.25">
      <c r="C15" s="18"/>
      <c r="D15" s="18"/>
      <c r="E15" s="18"/>
      <c r="F15" s="5" t="s">
        <v>75</v>
      </c>
      <c r="G15" s="7" t="s">
        <v>87</v>
      </c>
      <c r="H15" s="7" t="s">
        <v>76</v>
      </c>
      <c r="AP15" s="19"/>
      <c r="AQ15" s="20"/>
      <c r="AZ15" s="13"/>
      <c r="BA15" s="13"/>
      <c r="BB15" s="13"/>
      <c r="BD15" s="13"/>
      <c r="BE15" s="13"/>
      <c r="BF15" s="13"/>
      <c r="BG15" s="13"/>
      <c r="BI15" s="13"/>
      <c r="BN15" s="21"/>
      <c r="BO15" s="21"/>
      <c r="BQ15" s="14"/>
    </row>
    <row r="16" spans="1:72" x14ac:dyDescent="0.25">
      <c r="A16" s="157">
        <v>42051</v>
      </c>
      <c r="B16" s="24" t="s">
        <v>36</v>
      </c>
      <c r="C16" s="154" t="s">
        <v>288</v>
      </c>
      <c r="D16" s="23" t="s">
        <v>289</v>
      </c>
      <c r="E16" s="51" t="s">
        <v>290</v>
      </c>
      <c r="F16" s="91">
        <v>42051</v>
      </c>
      <c r="G16" s="58">
        <v>14.26</v>
      </c>
      <c r="H16" s="58">
        <v>8.73</v>
      </c>
      <c r="AP16" s="19"/>
      <c r="AQ16" s="20"/>
      <c r="AZ16" s="13"/>
      <c r="BA16" s="13"/>
      <c r="BB16" s="13"/>
      <c r="BD16" s="13"/>
      <c r="BE16" s="13"/>
      <c r="BF16" s="13"/>
      <c r="BG16" s="13"/>
      <c r="BI16" s="13"/>
      <c r="BN16" s="21"/>
      <c r="BO16" s="21"/>
      <c r="BQ16" s="14"/>
    </row>
    <row r="17" spans="1:72" x14ac:dyDescent="0.25">
      <c r="A17" s="157">
        <v>42051</v>
      </c>
      <c r="B17" s="24" t="s">
        <v>14</v>
      </c>
      <c r="C17" s="24" t="s">
        <v>291</v>
      </c>
      <c r="D17" s="23" t="s">
        <v>289</v>
      </c>
      <c r="E17" s="23" t="s">
        <v>292</v>
      </c>
      <c r="F17" s="91">
        <v>42051</v>
      </c>
      <c r="G17" s="155">
        <v>10.89</v>
      </c>
      <c r="H17" s="155">
        <v>7.42</v>
      </c>
      <c r="AP17" s="19"/>
      <c r="AQ17" s="20"/>
      <c r="AZ17" s="13"/>
      <c r="BA17" s="13"/>
      <c r="BB17" s="13"/>
      <c r="BD17" s="13"/>
      <c r="BE17" s="13"/>
      <c r="BF17" s="13"/>
      <c r="BG17" s="13"/>
      <c r="BI17" s="13"/>
      <c r="BN17" s="21"/>
      <c r="BO17" s="21"/>
      <c r="BQ17" s="14"/>
    </row>
    <row r="18" spans="1:72" x14ac:dyDescent="0.25">
      <c r="C18" s="23"/>
      <c r="D18" s="23"/>
      <c r="E18" s="23"/>
      <c r="F18" s="62"/>
      <c r="G18" s="58"/>
      <c r="H18" s="5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V18" s="21"/>
      <c r="W18" s="21"/>
      <c r="X18" s="21"/>
      <c r="Y18" s="21"/>
      <c r="Z18" s="21"/>
      <c r="AE18" s="21"/>
      <c r="AF18" s="21"/>
      <c r="AG18" s="21"/>
      <c r="AH18" s="21"/>
      <c r="AI18" s="21"/>
      <c r="AJ18" s="21"/>
      <c r="AM18" s="21"/>
      <c r="AN18" s="21"/>
      <c r="AO18" s="21"/>
      <c r="AP18" s="19"/>
      <c r="AQ18" s="20"/>
      <c r="AS18" s="21"/>
      <c r="AT18" s="21"/>
      <c r="AU18" s="21"/>
      <c r="AV18" s="21"/>
      <c r="AW18" s="21"/>
      <c r="AX18" s="21"/>
      <c r="AY18" s="21"/>
      <c r="AZ18" s="13"/>
      <c r="BA18" s="13"/>
      <c r="BB18" s="13"/>
      <c r="BD18" s="13"/>
      <c r="BE18" s="13"/>
      <c r="BF18" s="13"/>
      <c r="BG18" s="13"/>
      <c r="BI18" s="13"/>
      <c r="BL18" s="21"/>
      <c r="BM18" s="21"/>
      <c r="BN18" s="21"/>
      <c r="BO18" s="21"/>
      <c r="BQ18" s="14"/>
      <c r="BR18" s="21"/>
      <c r="BS18" s="21"/>
      <c r="BT18" s="21"/>
    </row>
    <row r="19" spans="1:72" x14ac:dyDescent="0.25">
      <c r="C19" s="18"/>
      <c r="D19" s="18"/>
      <c r="E19" s="18"/>
      <c r="F19" s="18"/>
      <c r="G19" s="18"/>
      <c r="H19" s="18"/>
      <c r="AQ19" s="20"/>
      <c r="AR19" s="21"/>
      <c r="BO19" s="21"/>
      <c r="BQ19" s="14"/>
    </row>
    <row r="20" spans="1:72" ht="7.5" customHeight="1" x14ac:dyDescent="0.25">
      <c r="C20" s="28"/>
      <c r="D20" s="28"/>
      <c r="E20" s="28"/>
      <c r="F20" s="28"/>
      <c r="G20" s="28"/>
      <c r="H20" s="2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V20" s="21"/>
      <c r="W20" s="21"/>
      <c r="X20" s="21"/>
      <c r="Y20" s="21"/>
      <c r="Z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9"/>
      <c r="AQ20" s="20"/>
      <c r="AS20" s="21"/>
      <c r="AT20" s="21"/>
      <c r="AU20" s="21"/>
      <c r="AV20" s="21"/>
      <c r="AW20" s="21"/>
      <c r="AX20" s="21"/>
      <c r="AY20" s="21"/>
      <c r="AZ20" s="13"/>
      <c r="BA20" s="13"/>
      <c r="BB20" s="13"/>
      <c r="BD20" s="13"/>
      <c r="BE20" s="13"/>
      <c r="BF20" s="13"/>
      <c r="BG20" s="13"/>
      <c r="BI20" s="13"/>
      <c r="BL20" s="21"/>
      <c r="BM20" s="21"/>
      <c r="BN20" s="21"/>
      <c r="BO20" s="21"/>
      <c r="BQ20" s="14"/>
      <c r="BR20" s="21"/>
      <c r="BS20" s="21"/>
      <c r="BT20" s="21"/>
    </row>
    <row r="21" spans="1:72" ht="7.5" customHeight="1" x14ac:dyDescent="0.25">
      <c r="C21" s="18"/>
      <c r="D21" s="18"/>
      <c r="E21" s="18"/>
      <c r="F21" s="18"/>
      <c r="G21" s="18"/>
      <c r="H21" s="1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V21" s="21"/>
      <c r="W21" s="21"/>
      <c r="X21" s="21"/>
      <c r="Y21" s="21"/>
      <c r="Z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9"/>
      <c r="AQ21" s="20"/>
      <c r="AS21" s="21"/>
      <c r="AT21" s="21"/>
      <c r="AU21" s="21"/>
      <c r="AV21" s="21"/>
      <c r="AW21" s="21"/>
      <c r="AX21" s="21"/>
      <c r="AY21" s="21"/>
      <c r="AZ21" s="13"/>
      <c r="BA21" s="13"/>
      <c r="BB21" s="13"/>
      <c r="BD21" s="13"/>
      <c r="BE21" s="13"/>
      <c r="BF21" s="13"/>
      <c r="BG21" s="13"/>
      <c r="BI21" s="13"/>
      <c r="BL21" s="21"/>
      <c r="BM21" s="21"/>
      <c r="BN21" s="21"/>
      <c r="BO21" s="21"/>
      <c r="BQ21" s="14"/>
      <c r="BR21" s="21"/>
      <c r="BS21" s="21"/>
      <c r="BT21" s="21"/>
    </row>
    <row r="22" spans="1:72" ht="23.25" x14ac:dyDescent="0.25">
      <c r="C22" s="18"/>
      <c r="D22" s="18"/>
      <c r="E22" s="18"/>
      <c r="F22" s="41" t="s">
        <v>79</v>
      </c>
      <c r="H22" s="18"/>
      <c r="AQ22" s="20"/>
      <c r="AR22" s="21"/>
      <c r="BO22" s="21"/>
      <c r="BQ22" s="14"/>
    </row>
    <row r="23" spans="1:72" ht="16.5" customHeight="1" x14ac:dyDescent="0.25">
      <c r="C23" s="18"/>
      <c r="D23" s="18"/>
      <c r="E23" s="18"/>
      <c r="F23" s="18"/>
      <c r="G23" s="26"/>
      <c r="H23" s="18"/>
      <c r="AQ23" s="20"/>
      <c r="AR23" s="21"/>
      <c r="BO23" s="21"/>
      <c r="BQ23" s="14"/>
    </row>
    <row r="24" spans="1:72" s="15" customFormat="1" x14ac:dyDescent="0.25">
      <c r="C24" s="4"/>
      <c r="D24" s="4"/>
      <c r="E24" s="4"/>
      <c r="F24" s="5" t="s">
        <v>77</v>
      </c>
      <c r="G24" s="39" t="s">
        <v>78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9"/>
      <c r="AQ24" s="20"/>
      <c r="AR24" s="21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21"/>
      <c r="BP24" s="4"/>
      <c r="BQ24" s="4"/>
      <c r="BR24" s="4"/>
      <c r="BS24" s="4"/>
      <c r="BT24" s="4"/>
    </row>
    <row r="25" spans="1:72" ht="36.75" customHeight="1" x14ac:dyDescent="0.25">
      <c r="B25" s="103"/>
      <c r="C25" s="142"/>
      <c r="D25" s="46"/>
      <c r="E25" s="143"/>
      <c r="F25" s="35"/>
      <c r="G25" s="35"/>
      <c r="H25" s="102"/>
      <c r="AP25" s="19"/>
      <c r="AQ25" s="20"/>
      <c r="AR25" s="21"/>
      <c r="BO25" s="21"/>
    </row>
    <row r="26" spans="1:72" x14ac:dyDescent="0.25">
      <c r="C26" s="36"/>
      <c r="D26" s="24"/>
      <c r="E26" s="54"/>
      <c r="F26" s="35"/>
      <c r="G26" s="35"/>
      <c r="H26" s="102"/>
      <c r="V26" s="21"/>
      <c r="W26" s="21"/>
      <c r="X26" s="21"/>
      <c r="Z26" s="21"/>
      <c r="AB26" s="21"/>
      <c r="AC26" s="21"/>
      <c r="AE26" s="21"/>
      <c r="AF26" s="21"/>
      <c r="AH26" s="21"/>
      <c r="AI26" s="21"/>
      <c r="AJ26" s="21"/>
      <c r="AK26" s="21"/>
      <c r="AL26" s="21"/>
      <c r="AM26" s="21"/>
      <c r="AN26" s="21"/>
      <c r="AO26" s="21"/>
      <c r="AP26" s="19"/>
      <c r="AQ26" s="20"/>
      <c r="AR26" s="21"/>
      <c r="AS26" s="21"/>
      <c r="AT26" s="21"/>
      <c r="AU26" s="21"/>
      <c r="AV26" s="21"/>
      <c r="AW26" s="21"/>
      <c r="AX26" s="21"/>
      <c r="AY26" s="21"/>
      <c r="BA26" s="21"/>
      <c r="BB26" s="21"/>
      <c r="BC26" s="21"/>
      <c r="BD26" s="21"/>
      <c r="BE26" s="21"/>
      <c r="BF26" s="21"/>
      <c r="BG26" s="21"/>
      <c r="BH26" s="21"/>
      <c r="BI26" s="21"/>
      <c r="BK26" s="21"/>
      <c r="BL26" s="21"/>
      <c r="BM26" s="21"/>
      <c r="BN26" s="21"/>
      <c r="BO26" s="21"/>
      <c r="BP26" s="21"/>
      <c r="BQ26" s="14"/>
      <c r="BR26" s="21"/>
      <c r="BS26" s="21"/>
      <c r="BT26" s="21"/>
    </row>
    <row r="27" spans="1:72" s="15" customFormat="1" x14ac:dyDescent="0.25">
      <c r="C27" s="25"/>
      <c r="D27" s="24"/>
      <c r="E27" s="24"/>
      <c r="F27" s="35"/>
      <c r="G27" s="101"/>
      <c r="H27" s="10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s="15" customFormat="1" x14ac:dyDescent="0.25">
      <c r="C28" s="25"/>
      <c r="D28" s="23"/>
      <c r="E28" s="24"/>
      <c r="F28" s="35"/>
      <c r="G28" s="101"/>
      <c r="H28" s="10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5" customFormat="1" x14ac:dyDescent="0.25">
      <c r="C29" s="21"/>
      <c r="D29" s="21"/>
      <c r="E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15" customFormat="1" x14ac:dyDescent="0.25">
      <c r="C30" s="21"/>
      <c r="D30" s="21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15" customFormat="1" x14ac:dyDescent="0.25">
      <c r="C31" s="21"/>
      <c r="D31" s="21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5" customFormat="1" x14ac:dyDescent="0.25">
      <c r="C32" s="21"/>
      <c r="D32" s="21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3:72" s="15" customFormat="1" x14ac:dyDescent="0.25">
      <c r="C33" s="21"/>
      <c r="D33" s="21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3:72" s="15" customFormat="1" x14ac:dyDescent="0.25">
      <c r="C34" s="21"/>
      <c r="D34" s="21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3:72" s="15" customFormat="1" x14ac:dyDescent="0.25">
      <c r="C35" s="21"/>
      <c r="D35" s="21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3:72" s="15" customFormat="1" x14ac:dyDescent="0.25">
      <c r="C36" s="21"/>
      <c r="D36" s="21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3:72" s="15" customFormat="1" x14ac:dyDescent="0.25">
      <c r="C37" s="21"/>
      <c r="D37" s="21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3:72" s="15" customFormat="1" x14ac:dyDescent="0.25">
      <c r="C38" s="21"/>
      <c r="D38" s="21"/>
      <c r="E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3:72" s="15" customFormat="1" x14ac:dyDescent="0.25">
      <c r="C39" s="21"/>
      <c r="D39" s="21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3:72" s="15" customFormat="1" x14ac:dyDescent="0.25">
      <c r="C40" s="21"/>
      <c r="D40" s="21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3:72" s="15" customFormat="1" x14ac:dyDescent="0.25">
      <c r="C41" s="21"/>
      <c r="D41" s="21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3:72" s="15" customFormat="1" x14ac:dyDescent="0.25">
      <c r="C42" s="21"/>
      <c r="D42" s="21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3:72" s="15" customFormat="1" x14ac:dyDescent="0.25">
      <c r="C43" s="21"/>
      <c r="D43" s="21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3:72" s="15" customFormat="1" x14ac:dyDescent="0.25">
      <c r="C44" s="21"/>
      <c r="D44" s="21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3:72" s="15" customFormat="1" x14ac:dyDescent="0.25">
      <c r="C45" s="21"/>
      <c r="D45" s="21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3:72" s="15" customFormat="1" x14ac:dyDescent="0.25">
      <c r="C46" s="21"/>
      <c r="D46" s="21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3:72" s="15" customFormat="1" x14ac:dyDescent="0.25">
      <c r="C47" s="21"/>
      <c r="D47" s="21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3:72" s="15" customFormat="1" x14ac:dyDescent="0.25">
      <c r="C48" s="21"/>
      <c r="D48" s="21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3:72" s="15" customFormat="1" x14ac:dyDescent="0.25">
      <c r="C49" s="21"/>
      <c r="D49" s="21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3:72" s="15" customFormat="1" x14ac:dyDescent="0.25">
      <c r="C50" s="21"/>
      <c r="D50" s="21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3:72" s="15" customFormat="1" x14ac:dyDescent="0.25">
      <c r="C51" s="21"/>
      <c r="D51" s="21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3:72" s="15" customFormat="1" x14ac:dyDescent="0.25">
      <c r="C52" s="21"/>
      <c r="D52" s="21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3:72" s="15" customFormat="1" x14ac:dyDescent="0.25">
      <c r="C53" s="21"/>
      <c r="D53" s="21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3:72" s="15" customFormat="1" x14ac:dyDescent="0.25">
      <c r="C54" s="21"/>
      <c r="D54" s="21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3:72" s="15" customFormat="1" x14ac:dyDescent="0.25">
      <c r="C55" s="21"/>
      <c r="D55" s="21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3:72" s="15" customFormat="1" x14ac:dyDescent="0.25">
      <c r="C56" s="21"/>
      <c r="D56" s="21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3:72" s="15" customFormat="1" x14ac:dyDescent="0.25">
      <c r="C57" s="21"/>
      <c r="D57" s="21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3:72" s="15" customFormat="1" x14ac:dyDescent="0.25">
      <c r="C58" s="21"/>
      <c r="D58" s="21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3:72" s="15" customFormat="1" x14ac:dyDescent="0.25">
      <c r="C59" s="21"/>
      <c r="D59" s="21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3:72" s="15" customFormat="1" x14ac:dyDescent="0.25">
      <c r="C60" s="21"/>
      <c r="D60" s="21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3:72" s="15" customFormat="1" x14ac:dyDescent="0.25">
      <c r="C61" s="21"/>
      <c r="D61" s="21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3:72" s="15" customFormat="1" x14ac:dyDescent="0.25">
      <c r="C62" s="21"/>
      <c r="D62" s="21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3:72" s="15" customFormat="1" x14ac:dyDescent="0.25">
      <c r="C63" s="21"/>
      <c r="D63" s="21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3:72" s="15" customFormat="1" x14ac:dyDescent="0.25">
      <c r="C64" s="21"/>
      <c r="D64" s="21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3:72" s="15" customFormat="1" x14ac:dyDescent="0.25">
      <c r="C65" s="21"/>
      <c r="D65" s="21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3:72" s="15" customFormat="1" x14ac:dyDescent="0.25">
      <c r="C66" s="21"/>
      <c r="D66" s="21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3:72" s="15" customFormat="1" x14ac:dyDescent="0.25">
      <c r="C67" s="21"/>
      <c r="D67" s="21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3:72" s="15" customFormat="1" x14ac:dyDescent="0.25">
      <c r="C68" s="21"/>
      <c r="D68" s="21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3:72" s="15" customFormat="1" x14ac:dyDescent="0.25">
      <c r="C69" s="21"/>
      <c r="D69" s="21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3:72" s="15" customFormat="1" x14ac:dyDescent="0.25">
      <c r="C70" s="21"/>
      <c r="D70" s="21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3:72" s="15" customFormat="1" x14ac:dyDescent="0.25">
      <c r="C71" s="21"/>
      <c r="D71" s="21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3:72" s="15" customFormat="1" x14ac:dyDescent="0.25">
      <c r="C72" s="21"/>
      <c r="D72" s="21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3:72" s="15" customFormat="1" x14ac:dyDescent="0.25">
      <c r="C73" s="21"/>
      <c r="D73" s="21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3:72" s="15" customFormat="1" x14ac:dyDescent="0.25">
      <c r="C74" s="21"/>
      <c r="D74" s="21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3:72" s="15" customFormat="1" x14ac:dyDescent="0.25">
      <c r="C75" s="21"/>
      <c r="D75" s="21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3:72" s="15" customFormat="1" x14ac:dyDescent="0.25">
      <c r="C76" s="21"/>
      <c r="D76" s="21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3:72" s="15" customFormat="1" x14ac:dyDescent="0.25">
      <c r="C77" s="21"/>
      <c r="D77" s="21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3:72" s="15" customFormat="1" x14ac:dyDescent="0.25">
      <c r="C78" s="21"/>
      <c r="D78" s="21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3:72" s="15" customFormat="1" x14ac:dyDescent="0.25">
      <c r="C79" s="21"/>
      <c r="D79" s="21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3:72" s="15" customFormat="1" x14ac:dyDescent="0.25">
      <c r="C80" s="21"/>
      <c r="D80" s="21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3:72" s="15" customFormat="1" x14ac:dyDescent="0.25">
      <c r="C81" s="21"/>
      <c r="D81" s="21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3:72" s="15" customFormat="1" x14ac:dyDescent="0.25">
      <c r="C82" s="21"/>
      <c r="D82" s="21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3:72" s="15" customFormat="1" x14ac:dyDescent="0.25">
      <c r="C83" s="21"/>
      <c r="D83" s="21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3:72" s="15" customFormat="1" x14ac:dyDescent="0.25">
      <c r="C84" s="21"/>
      <c r="D84" s="21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3:72" s="15" customFormat="1" x14ac:dyDescent="0.25">
      <c r="C85" s="21"/>
      <c r="D85" s="21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3:72" s="15" customFormat="1" x14ac:dyDescent="0.25">
      <c r="C86" s="21"/>
      <c r="D86" s="21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3:72" s="15" customFormat="1" x14ac:dyDescent="0.25">
      <c r="C87" s="21"/>
      <c r="D87" s="21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3:72" s="15" customFormat="1" x14ac:dyDescent="0.25">
      <c r="C88" s="21"/>
      <c r="D88" s="21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3:72" s="15" customFormat="1" x14ac:dyDescent="0.25">
      <c r="C89" s="21"/>
      <c r="D89" s="21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3:72" s="15" customFormat="1" x14ac:dyDescent="0.25">
      <c r="C90" s="21"/>
      <c r="D90" s="21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3:72" s="15" customFormat="1" x14ac:dyDescent="0.25">
      <c r="C91" s="21"/>
      <c r="D91" s="21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3:72" s="15" customFormat="1" x14ac:dyDescent="0.25">
      <c r="C92" s="21"/>
      <c r="D92" s="21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3:72" s="15" customFormat="1" x14ac:dyDescent="0.25">
      <c r="C93" s="21"/>
      <c r="D93" s="21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3:72" s="15" customFormat="1" x14ac:dyDescent="0.25">
      <c r="C94" s="21"/>
      <c r="D94" s="21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3:72" s="15" customFormat="1" x14ac:dyDescent="0.25">
      <c r="C95" s="21"/>
      <c r="D95" s="21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3:72" s="15" customFormat="1" x14ac:dyDescent="0.25">
      <c r="C96" s="21"/>
      <c r="D96" s="21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3:72" s="15" customFormat="1" x14ac:dyDescent="0.25">
      <c r="C97" s="21"/>
      <c r="D97" s="21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3:72" s="15" customFormat="1" x14ac:dyDescent="0.25">
      <c r="C98" s="21"/>
      <c r="D98" s="21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3:72" s="15" customFormat="1" x14ac:dyDescent="0.25">
      <c r="C99" s="21"/>
      <c r="D99" s="21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3:72" s="15" customFormat="1" x14ac:dyDescent="0.25">
      <c r="C100" s="21"/>
      <c r="D100" s="21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3:72" s="15" customFormat="1" x14ac:dyDescent="0.25">
      <c r="C101" s="21"/>
      <c r="D101" s="21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3:72" s="15" customFormat="1" x14ac:dyDescent="0.25">
      <c r="C102" s="21"/>
      <c r="D102" s="21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3:72" s="15" customFormat="1" x14ac:dyDescent="0.25">
      <c r="C103" s="21"/>
      <c r="D103" s="21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3:72" s="15" customFormat="1" x14ac:dyDescent="0.25">
      <c r="C104" s="21"/>
      <c r="D104" s="21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3:72" s="15" customFormat="1" x14ac:dyDescent="0.25">
      <c r="C105" s="21"/>
      <c r="D105" s="21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3:72" s="15" customFormat="1" x14ac:dyDescent="0.25">
      <c r="C106" s="21"/>
      <c r="D106" s="21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3:72" s="15" customFormat="1" x14ac:dyDescent="0.25">
      <c r="C107" s="21"/>
      <c r="D107" s="21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3:72" s="15" customFormat="1" x14ac:dyDescent="0.25">
      <c r="C108" s="21"/>
      <c r="D108" s="21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3:72" s="15" customFormat="1" x14ac:dyDescent="0.25">
      <c r="C109" s="21"/>
      <c r="D109" s="21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3:72" s="15" customFormat="1" x14ac:dyDescent="0.25">
      <c r="C110" s="21"/>
      <c r="D110" s="21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3:72" s="15" customFormat="1" x14ac:dyDescent="0.25">
      <c r="C111" s="21"/>
      <c r="D111" s="21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3:72" s="15" customFormat="1" x14ac:dyDescent="0.25">
      <c r="C112" s="21"/>
      <c r="D112" s="21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3:72" s="15" customFormat="1" x14ac:dyDescent="0.25">
      <c r="C113" s="21"/>
      <c r="D113" s="21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3:72" s="15" customFormat="1" x14ac:dyDescent="0.25">
      <c r="C114" s="21"/>
      <c r="D114" s="21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3:72" s="15" customFormat="1" x14ac:dyDescent="0.25">
      <c r="C115" s="21"/>
      <c r="D115" s="21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3:72" s="15" customFormat="1" x14ac:dyDescent="0.25">
      <c r="C116" s="21"/>
      <c r="D116" s="21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3:72" s="15" customFormat="1" x14ac:dyDescent="0.25">
      <c r="C117" s="21"/>
      <c r="D117" s="21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3:72" s="15" customFormat="1" x14ac:dyDescent="0.25">
      <c r="C118" s="21"/>
      <c r="D118" s="21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3:72" s="15" customFormat="1" x14ac:dyDescent="0.25">
      <c r="C119" s="21"/>
      <c r="D119" s="21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3:72" s="15" customFormat="1" x14ac:dyDescent="0.25">
      <c r="C120" s="21"/>
      <c r="D120" s="21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3:72" s="15" customFormat="1" x14ac:dyDescent="0.25">
      <c r="C121" s="21"/>
      <c r="D121" s="21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3:72" s="15" customFormat="1" x14ac:dyDescent="0.25">
      <c r="C122" s="21"/>
      <c r="D122" s="21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3:72" s="15" customFormat="1" x14ac:dyDescent="0.25">
      <c r="C123" s="21"/>
      <c r="D123" s="21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3:72" s="15" customFormat="1" x14ac:dyDescent="0.25">
      <c r="C124" s="21"/>
      <c r="D124" s="21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3:72" s="15" customFormat="1" x14ac:dyDescent="0.25">
      <c r="C125" s="21"/>
      <c r="D125" s="21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3:72" s="15" customFormat="1" x14ac:dyDescent="0.25">
      <c r="C126" s="21"/>
      <c r="D126" s="21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3:72" s="15" customFormat="1" x14ac:dyDescent="0.25">
      <c r="C127" s="21"/>
      <c r="D127" s="21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3:72" s="15" customFormat="1" x14ac:dyDescent="0.25">
      <c r="C128" s="21"/>
      <c r="D128" s="21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3:72" s="15" customFormat="1" x14ac:dyDescent="0.25">
      <c r="C129" s="21"/>
      <c r="D129" s="21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3:72" s="15" customFormat="1" x14ac:dyDescent="0.25">
      <c r="C130" s="21"/>
      <c r="D130" s="21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3:72" s="15" customFormat="1" x14ac:dyDescent="0.25">
      <c r="C131" s="21"/>
      <c r="D131" s="21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</sheetData>
  <mergeCells count="8">
    <mergeCell ref="AZ6:BD6"/>
    <mergeCell ref="BJ4:BQ4"/>
    <mergeCell ref="U4:AO4"/>
    <mergeCell ref="AP4:AQ4"/>
    <mergeCell ref="AR4:AS4"/>
    <mergeCell ref="AT4:AY4"/>
    <mergeCell ref="AZ4:BD4"/>
    <mergeCell ref="BE4:BI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S13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7" sqref="B7"/>
    </sheetView>
  </sheetViews>
  <sheetFormatPr defaultColWidth="9.140625" defaultRowHeight="15" x14ac:dyDescent="0.25"/>
  <cols>
    <col min="1" max="1" width="10.28515625" style="4" hidden="1" customWidth="1"/>
    <col min="2" max="2" width="12.28515625" style="21" bestFit="1" customWidth="1"/>
    <col min="3" max="3" width="8.7109375" style="21" bestFit="1" customWidth="1"/>
    <col min="4" max="4" width="29" style="4" customWidth="1"/>
    <col min="5" max="5" width="51" style="15" customWidth="1"/>
    <col min="6" max="6" width="22.7109375" style="4" customWidth="1"/>
    <col min="7" max="7" width="18.4257812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9.140625" style="4" customWidth="1"/>
    <col min="43" max="43" width="14.85546875" style="4" customWidth="1"/>
    <col min="44" max="44" width="17.140625" style="4" customWidth="1"/>
    <col min="45" max="45" width="11.5703125" style="4" bestFit="1" customWidth="1"/>
    <col min="46" max="46" width="11.140625" style="4" bestFit="1" customWidth="1"/>
    <col min="47" max="47" width="11.42578125" style="4" bestFit="1" customWidth="1"/>
    <col min="48" max="48" width="8.28515625" style="4" bestFit="1" customWidth="1"/>
    <col min="49" max="49" width="11.42578125" style="4" bestFit="1" customWidth="1"/>
    <col min="50" max="50" width="8.85546875" style="4" bestFit="1" customWidth="1"/>
    <col min="51" max="51" width="7" style="4" bestFit="1" customWidth="1"/>
    <col min="52" max="52" width="17.85546875" style="4" customWidth="1"/>
    <col min="53" max="53" width="6.85546875" style="4" bestFit="1" customWidth="1"/>
    <col min="54" max="54" width="6.7109375" style="4" customWidth="1"/>
    <col min="55" max="55" width="7.5703125" style="4" bestFit="1" customWidth="1"/>
    <col min="56" max="56" width="7" style="4" bestFit="1" customWidth="1"/>
    <col min="57" max="57" width="20.140625" style="4" bestFit="1" customWidth="1"/>
    <col min="58" max="58" width="6.85546875" style="4" bestFit="1" customWidth="1"/>
    <col min="59" max="59" width="5.5703125" style="4" bestFit="1" customWidth="1"/>
    <col min="60" max="60" width="7.5703125" style="4" bestFit="1" customWidth="1"/>
    <col min="61" max="61" width="17.85546875" style="4" customWidth="1"/>
    <col min="62" max="62" width="10.42578125" style="4" bestFit="1" customWidth="1"/>
    <col min="63" max="63" width="12" style="4" bestFit="1" customWidth="1"/>
    <col min="64" max="65" width="14.42578125" style="4" bestFit="1" customWidth="1"/>
    <col min="66" max="66" width="13.28515625" style="4" bestFit="1" customWidth="1"/>
    <col min="67" max="67" width="16.28515625" style="4" bestFit="1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16384" width="9.140625" style="4"/>
  </cols>
  <sheetData>
    <row r="2" spans="1:71" ht="23.25" x14ac:dyDescent="0.25">
      <c r="E2" s="2" t="s">
        <v>184</v>
      </c>
      <c r="G2" s="2"/>
      <c r="H2" s="3"/>
    </row>
    <row r="3" spans="1:71" ht="20.25" x14ac:dyDescent="0.25">
      <c r="E3" s="55">
        <v>42030</v>
      </c>
    </row>
    <row r="4" spans="1:71" ht="15.75" customHeight="1" x14ac:dyDescent="0.25">
      <c r="D4" s="16" t="s">
        <v>17</v>
      </c>
      <c r="F4" s="65"/>
      <c r="G4" s="65"/>
      <c r="H4" s="66" t="s">
        <v>15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09" t="s">
        <v>16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 t="s">
        <v>85</v>
      </c>
      <c r="AP4" s="210"/>
      <c r="AQ4" s="211" t="s">
        <v>19</v>
      </c>
      <c r="AR4" s="211"/>
      <c r="AS4" s="212" t="s">
        <v>91</v>
      </c>
      <c r="AT4" s="212"/>
      <c r="AU4" s="212"/>
      <c r="AV4" s="212"/>
      <c r="AW4" s="212"/>
      <c r="AX4" s="212"/>
      <c r="AY4" s="213" t="s">
        <v>22</v>
      </c>
      <c r="AZ4" s="213"/>
      <c r="BA4" s="213"/>
      <c r="BB4" s="213"/>
      <c r="BC4" s="213"/>
      <c r="BD4" s="208" t="s">
        <v>28</v>
      </c>
      <c r="BE4" s="208"/>
      <c r="BF4" s="208"/>
      <c r="BG4" s="208"/>
      <c r="BH4" s="208"/>
      <c r="BI4" s="207" t="s">
        <v>34</v>
      </c>
      <c r="BJ4" s="207"/>
      <c r="BK4" s="207"/>
      <c r="BL4" s="207"/>
      <c r="BM4" s="207"/>
      <c r="BN4" s="207"/>
      <c r="BO4" s="207"/>
      <c r="BP4" s="207"/>
    </row>
    <row r="5" spans="1:71" x14ac:dyDescent="0.25">
      <c r="B5" s="17" t="s">
        <v>0</v>
      </c>
      <c r="C5" s="22" t="s">
        <v>83</v>
      </c>
      <c r="D5" s="17" t="s">
        <v>2</v>
      </c>
      <c r="E5" s="5" t="s">
        <v>1</v>
      </c>
      <c r="F5" s="6" t="s">
        <v>3</v>
      </c>
      <c r="G5" s="6" t="s">
        <v>7</v>
      </c>
      <c r="H5" s="6" t="s">
        <v>4</v>
      </c>
      <c r="I5" s="6" t="s">
        <v>6</v>
      </c>
      <c r="J5" s="6" t="s">
        <v>5</v>
      </c>
      <c r="K5" s="6" t="s">
        <v>56</v>
      </c>
      <c r="L5" s="6" t="s">
        <v>54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80</v>
      </c>
      <c r="S5" s="6" t="s">
        <v>61</v>
      </c>
      <c r="T5" s="7" t="s">
        <v>8</v>
      </c>
      <c r="U5" s="7" t="s">
        <v>47</v>
      </c>
      <c r="V5" s="7" t="s">
        <v>9</v>
      </c>
      <c r="W5" s="7" t="s">
        <v>36</v>
      </c>
      <c r="X5" s="7" t="s">
        <v>10</v>
      </c>
      <c r="Y5" s="7" t="s">
        <v>48</v>
      </c>
      <c r="Z5" s="7" t="s">
        <v>11</v>
      </c>
      <c r="AA5" s="7" t="s">
        <v>53</v>
      </c>
      <c r="AB5" s="7" t="s">
        <v>12</v>
      </c>
      <c r="AC5" s="7" t="s">
        <v>52</v>
      </c>
      <c r="AD5" s="7" t="s">
        <v>49</v>
      </c>
      <c r="AE5" s="7" t="s">
        <v>14</v>
      </c>
      <c r="AF5" s="7" t="s">
        <v>37</v>
      </c>
      <c r="AG5" s="7" t="s">
        <v>50</v>
      </c>
      <c r="AH5" s="7" t="s">
        <v>51</v>
      </c>
      <c r="AI5" s="7" t="s">
        <v>46</v>
      </c>
      <c r="AJ5" s="7" t="s">
        <v>38</v>
      </c>
      <c r="AK5" s="7" t="s">
        <v>86</v>
      </c>
      <c r="AL5" s="7" t="s">
        <v>39</v>
      </c>
      <c r="AM5" s="7" t="s">
        <v>40</v>
      </c>
      <c r="AN5" s="7" t="s">
        <v>13</v>
      </c>
      <c r="AO5" s="11" t="s">
        <v>20</v>
      </c>
      <c r="AP5" s="11" t="s">
        <v>21</v>
      </c>
      <c r="AQ5" s="8" t="s">
        <v>18</v>
      </c>
      <c r="AR5" s="8" t="s">
        <v>55</v>
      </c>
      <c r="AS5" s="70" t="s">
        <v>23</v>
      </c>
      <c r="AT5" s="70" t="s">
        <v>24</v>
      </c>
      <c r="AU5" s="70" t="s">
        <v>25</v>
      </c>
      <c r="AV5" s="70" t="s">
        <v>92</v>
      </c>
      <c r="AW5" s="70" t="s">
        <v>25</v>
      </c>
      <c r="AX5" s="70" t="s">
        <v>93</v>
      </c>
      <c r="AY5" s="9" t="s">
        <v>23</v>
      </c>
      <c r="AZ5" s="9" t="s">
        <v>24</v>
      </c>
      <c r="BA5" s="9" t="s">
        <v>25</v>
      </c>
      <c r="BB5" s="9" t="s">
        <v>26</v>
      </c>
      <c r="BC5" s="9" t="s">
        <v>27</v>
      </c>
      <c r="BD5" s="10" t="s">
        <v>23</v>
      </c>
      <c r="BE5" s="10" t="s">
        <v>24</v>
      </c>
      <c r="BF5" s="10" t="s">
        <v>25</v>
      </c>
      <c r="BG5" s="10" t="s">
        <v>26</v>
      </c>
      <c r="BH5" s="10" t="s">
        <v>27</v>
      </c>
      <c r="BI5" s="11" t="s">
        <v>45</v>
      </c>
      <c r="BJ5" s="12" t="s">
        <v>29</v>
      </c>
      <c r="BK5" s="12" t="s">
        <v>30</v>
      </c>
      <c r="BL5" s="12" t="s">
        <v>31</v>
      </c>
      <c r="BM5" s="12" t="s">
        <v>32</v>
      </c>
      <c r="BN5" s="12" t="s">
        <v>33</v>
      </c>
      <c r="BO5" s="12" t="s">
        <v>35</v>
      </c>
      <c r="BP5" s="12" t="s">
        <v>44</v>
      </c>
      <c r="BQ5" s="12" t="s">
        <v>41</v>
      </c>
      <c r="BR5" s="12" t="s">
        <v>42</v>
      </c>
      <c r="BS5" s="12" t="s">
        <v>43</v>
      </c>
    </row>
    <row r="6" spans="1:71" s="1" customFormat="1" ht="31.5" x14ac:dyDescent="0.25">
      <c r="A6" s="103">
        <v>42030</v>
      </c>
      <c r="B6" s="52" t="s">
        <v>242</v>
      </c>
      <c r="C6" s="73" t="s">
        <v>73</v>
      </c>
      <c r="D6" s="59" t="s">
        <v>243</v>
      </c>
      <c r="E6" s="116" t="s">
        <v>244</v>
      </c>
      <c r="F6" s="78" t="s">
        <v>71</v>
      </c>
      <c r="G6" s="35" t="s">
        <v>245</v>
      </c>
      <c r="H6" s="78" t="s">
        <v>71</v>
      </c>
      <c r="I6" s="35">
        <v>1521527</v>
      </c>
      <c r="J6" s="44"/>
      <c r="K6" s="45"/>
      <c r="L6" s="45"/>
      <c r="M6" s="45"/>
      <c r="N6" s="69"/>
      <c r="O6" s="69"/>
      <c r="P6" s="69"/>
      <c r="Q6" s="69"/>
      <c r="R6" s="69"/>
      <c r="S6" s="69"/>
      <c r="T6" s="89" t="s">
        <v>246</v>
      </c>
      <c r="U6" s="68"/>
      <c r="V6" s="44"/>
      <c r="W6" s="68"/>
      <c r="X6" s="117" t="s">
        <v>247</v>
      </c>
      <c r="Y6" s="68"/>
      <c r="Z6" s="89" t="s">
        <v>248</v>
      </c>
      <c r="AA6" s="44"/>
      <c r="AB6" s="57"/>
      <c r="AC6" s="35" t="s">
        <v>249</v>
      </c>
      <c r="AD6" s="57"/>
      <c r="AE6" s="57"/>
      <c r="AF6" s="35"/>
      <c r="AG6" s="57"/>
      <c r="AH6" s="57"/>
      <c r="AI6" s="43"/>
      <c r="AJ6" s="57"/>
      <c r="AK6" s="57"/>
      <c r="AL6" s="57"/>
      <c r="AM6" s="57"/>
      <c r="AN6" s="89"/>
      <c r="AO6" s="107">
        <v>17.7</v>
      </c>
      <c r="AP6" s="42">
        <f>AO6/0.444</f>
        <v>39.864864864864863</v>
      </c>
      <c r="AQ6" s="95" t="s">
        <v>250</v>
      </c>
      <c r="AR6" s="96">
        <v>10038568737998</v>
      </c>
      <c r="AS6" s="97"/>
      <c r="AT6" s="72"/>
      <c r="AU6" s="72"/>
      <c r="AV6" s="147">
        <v>2.52</v>
      </c>
      <c r="AW6" s="147">
        <v>5.75</v>
      </c>
      <c r="AX6" s="147">
        <v>1.06</v>
      </c>
      <c r="AY6" s="74">
        <f>3.0625+(0.018*2)</f>
        <v>3.0985</v>
      </c>
      <c r="AZ6" s="74">
        <f>3.0625+(0.018*2)</f>
        <v>3.0985</v>
      </c>
      <c r="BA6" s="74">
        <f>6.75+(0.018*4)</f>
        <v>6.8220000000000001</v>
      </c>
      <c r="BB6" s="147">
        <f t="shared" ref="BB6:BB10" si="0">(BA6*AZ6*AY6)/1728</f>
        <v>3.7902772424479161E-2</v>
      </c>
      <c r="BC6" s="74">
        <f>0.16+0.1</f>
        <v>0.26</v>
      </c>
      <c r="BD6" s="148">
        <f>12.8125+(0.125*2)</f>
        <v>13.0625</v>
      </c>
      <c r="BE6" s="148">
        <f>9.625+(0.125*2)</f>
        <v>9.875</v>
      </c>
      <c r="BF6" s="148">
        <f>6.875+(0.125*4)</f>
        <v>7.375</v>
      </c>
      <c r="BG6" s="147">
        <f t="shared" ref="BG6:BG10" si="1">(BF6*BE6*BD6)/1728</f>
        <v>0.55053089283130785</v>
      </c>
      <c r="BH6" s="74">
        <f>(BC6*12)+0.25</f>
        <v>3.37</v>
      </c>
      <c r="BI6" s="149" t="s">
        <v>68</v>
      </c>
      <c r="BJ6" s="149">
        <v>12</v>
      </c>
      <c r="BK6" s="149">
        <v>14</v>
      </c>
      <c r="BL6" s="149">
        <v>6</v>
      </c>
      <c r="BM6" s="49">
        <f t="shared" ref="BM6:BM10" si="2">BJ6*BK6*BL6</f>
        <v>1008</v>
      </c>
      <c r="BN6" s="49">
        <f t="shared" ref="BN6:BN10" si="3">(BH6*BK6*BL6)+50</f>
        <v>333.08</v>
      </c>
      <c r="BO6" s="149" t="s">
        <v>62</v>
      </c>
      <c r="BP6" s="49" t="s">
        <v>67</v>
      </c>
      <c r="BQ6" s="71"/>
      <c r="BR6" s="71"/>
      <c r="BS6" s="71"/>
    </row>
    <row r="7" spans="1:71" s="1" customFormat="1" ht="31.5" x14ac:dyDescent="0.25">
      <c r="A7" s="103">
        <v>42030</v>
      </c>
      <c r="B7" s="52" t="s">
        <v>251</v>
      </c>
      <c r="C7" s="73" t="s">
        <v>73</v>
      </c>
      <c r="D7" s="59" t="s">
        <v>156</v>
      </c>
      <c r="E7" s="116" t="s">
        <v>252</v>
      </c>
      <c r="F7" s="78" t="s">
        <v>70</v>
      </c>
      <c r="G7" s="35" t="s">
        <v>253</v>
      </c>
      <c r="H7" s="78"/>
      <c r="I7" s="35"/>
      <c r="J7" s="44"/>
      <c r="K7" s="45"/>
      <c r="L7" s="45"/>
      <c r="M7" s="45"/>
      <c r="N7" s="69"/>
      <c r="O7" s="69"/>
      <c r="P7" s="69"/>
      <c r="Q7" s="69"/>
      <c r="R7" s="69"/>
      <c r="S7" s="69"/>
      <c r="T7" s="89" t="s">
        <v>254</v>
      </c>
      <c r="U7" s="68"/>
      <c r="V7" s="44"/>
      <c r="W7" s="68"/>
      <c r="X7" s="117"/>
      <c r="Y7" s="68"/>
      <c r="Z7" s="86" t="s">
        <v>255</v>
      </c>
      <c r="AA7" s="44" t="s">
        <v>256</v>
      </c>
      <c r="AB7" s="57"/>
      <c r="AC7" s="35"/>
      <c r="AD7" s="57"/>
      <c r="AE7" s="57"/>
      <c r="AF7" s="35"/>
      <c r="AG7" s="57"/>
      <c r="AH7" s="57"/>
      <c r="AI7" s="43"/>
      <c r="AJ7" s="57"/>
      <c r="AK7" s="57"/>
      <c r="AL7" s="57"/>
      <c r="AM7" s="57"/>
      <c r="AN7" s="86" t="s">
        <v>257</v>
      </c>
      <c r="AO7" s="107">
        <v>21.98</v>
      </c>
      <c r="AP7" s="42">
        <f>AO7/0.444</f>
        <v>49.504504504504503</v>
      </c>
      <c r="AQ7" s="95" t="s">
        <v>258</v>
      </c>
      <c r="AR7" s="96">
        <v>10038568740417</v>
      </c>
      <c r="AS7" s="110">
        <v>10.26</v>
      </c>
      <c r="AT7" s="110">
        <v>5.57</v>
      </c>
      <c r="AU7" s="110">
        <v>0.77</v>
      </c>
      <c r="AV7" s="97"/>
      <c r="AW7" s="97"/>
      <c r="AX7" s="97"/>
      <c r="AY7" s="74">
        <v>10.26</v>
      </c>
      <c r="AZ7" s="74">
        <v>5.57</v>
      </c>
      <c r="BA7" s="74">
        <v>0.77</v>
      </c>
      <c r="BB7" s="83">
        <f t="shared" si="0"/>
        <v>2.5465343750000001E-2</v>
      </c>
      <c r="BC7" s="74">
        <f>0.2+0.1</f>
        <v>0.30000000000000004</v>
      </c>
      <c r="BD7" s="148">
        <f>10.5+(0.125*2)</f>
        <v>10.75</v>
      </c>
      <c r="BE7" s="148">
        <f>7+(0.125*2)</f>
        <v>7.25</v>
      </c>
      <c r="BF7" s="148">
        <f>4.12+(0.125*4)</f>
        <v>4.62</v>
      </c>
      <c r="BG7" s="147">
        <f t="shared" si="1"/>
        <v>0.2083745659722222</v>
      </c>
      <c r="BH7" s="74">
        <f>(BC7*3)+0.25</f>
        <v>1.1500000000000001</v>
      </c>
      <c r="BI7" s="149" t="s">
        <v>68</v>
      </c>
      <c r="BJ7" s="149">
        <v>3</v>
      </c>
      <c r="BK7" s="149">
        <v>20</v>
      </c>
      <c r="BL7" s="149">
        <v>11</v>
      </c>
      <c r="BM7" s="49">
        <f t="shared" si="2"/>
        <v>660</v>
      </c>
      <c r="BN7" s="49">
        <f t="shared" si="3"/>
        <v>303</v>
      </c>
      <c r="BO7" s="149" t="s">
        <v>69</v>
      </c>
      <c r="BP7" s="49" t="s">
        <v>67</v>
      </c>
      <c r="BQ7" s="71"/>
      <c r="BR7" s="71"/>
      <c r="BS7" s="71"/>
    </row>
    <row r="8" spans="1:71" s="1" customFormat="1" ht="31.5" x14ac:dyDescent="0.25">
      <c r="A8" s="103">
        <v>42030</v>
      </c>
      <c r="B8" s="52" t="s">
        <v>259</v>
      </c>
      <c r="C8" s="73" t="s">
        <v>73</v>
      </c>
      <c r="D8" s="59"/>
      <c r="E8" s="116" t="s">
        <v>260</v>
      </c>
      <c r="F8" s="78" t="s">
        <v>261</v>
      </c>
      <c r="G8" s="35"/>
      <c r="H8" s="78"/>
      <c r="I8" s="35"/>
      <c r="J8" s="44"/>
      <c r="K8" s="45"/>
      <c r="L8" s="45"/>
      <c r="M8" s="45"/>
      <c r="N8" s="69"/>
      <c r="O8" s="69"/>
      <c r="P8" s="69"/>
      <c r="Q8" s="69"/>
      <c r="R8" s="69"/>
      <c r="S8" s="69"/>
      <c r="T8" s="89"/>
      <c r="U8" s="68"/>
      <c r="V8" s="44"/>
      <c r="W8" s="68"/>
      <c r="X8" s="117"/>
      <c r="Y8" s="68"/>
      <c r="Z8" s="89"/>
      <c r="AA8" s="44"/>
      <c r="AB8" s="57"/>
      <c r="AC8" s="35"/>
      <c r="AD8" s="57"/>
      <c r="AE8" s="57"/>
      <c r="AF8" s="35"/>
      <c r="AG8" s="57"/>
      <c r="AH8" s="57"/>
      <c r="AI8" s="43"/>
      <c r="AJ8" s="57"/>
      <c r="AK8" s="57"/>
      <c r="AL8" s="57"/>
      <c r="AM8" s="57"/>
      <c r="AN8" s="89"/>
      <c r="AO8" s="107">
        <v>283.43</v>
      </c>
      <c r="AP8" s="42">
        <f>AO8/0.444</f>
        <v>638.35585585585591</v>
      </c>
      <c r="AQ8" s="95" t="s">
        <v>262</v>
      </c>
      <c r="AR8" s="96">
        <v>10038568739961</v>
      </c>
      <c r="AS8" s="97"/>
      <c r="AT8" s="77"/>
      <c r="AU8" s="77"/>
      <c r="AV8" s="97"/>
      <c r="AW8" s="97"/>
      <c r="AX8" s="97"/>
      <c r="AY8" s="214" t="s">
        <v>84</v>
      </c>
      <c r="AZ8" s="214"/>
      <c r="BA8" s="214"/>
      <c r="BB8" s="214"/>
      <c r="BC8" s="214"/>
      <c r="BD8" s="148">
        <f>11.13+(0.125*2)</f>
        <v>11.38</v>
      </c>
      <c r="BE8" s="148">
        <f>10.25+(0.125*2)</f>
        <v>10.5</v>
      </c>
      <c r="BF8" s="148">
        <f>5.63+(0.125*4)</f>
        <v>6.13</v>
      </c>
      <c r="BG8" s="147">
        <f t="shared" si="1"/>
        <v>0.42388524305555558</v>
      </c>
      <c r="BH8" s="74">
        <f>(0.86+0.75+0.44)+0.25</f>
        <v>2.2999999999999998</v>
      </c>
      <c r="BI8" s="149" t="s">
        <v>68</v>
      </c>
      <c r="BJ8" s="149">
        <v>1</v>
      </c>
      <c r="BK8" s="149">
        <v>12</v>
      </c>
      <c r="BL8" s="149">
        <v>7</v>
      </c>
      <c r="BM8" s="49">
        <f t="shared" si="2"/>
        <v>84</v>
      </c>
      <c r="BN8" s="49">
        <f t="shared" si="3"/>
        <v>243.2</v>
      </c>
      <c r="BO8" s="51" t="s">
        <v>263</v>
      </c>
      <c r="BP8" s="49" t="s">
        <v>67</v>
      </c>
      <c r="BQ8" s="71"/>
      <c r="BR8" s="71"/>
      <c r="BS8" s="71"/>
    </row>
    <row r="9" spans="1:71" s="1" customFormat="1" ht="15.75" x14ac:dyDescent="0.25">
      <c r="A9" s="103">
        <v>42030</v>
      </c>
      <c r="B9" s="52" t="s">
        <v>264</v>
      </c>
      <c r="C9" s="73" t="s">
        <v>216</v>
      </c>
      <c r="D9" s="59" t="s">
        <v>156</v>
      </c>
      <c r="E9" s="116" t="s">
        <v>265</v>
      </c>
      <c r="F9" s="78" t="s">
        <v>266</v>
      </c>
      <c r="G9" s="35" t="s">
        <v>267</v>
      </c>
      <c r="H9" s="78"/>
      <c r="I9" s="35"/>
      <c r="J9" s="44"/>
      <c r="K9" s="45"/>
      <c r="L9" s="45"/>
      <c r="M9" s="45"/>
      <c r="N9" s="69"/>
      <c r="O9" s="69"/>
      <c r="P9" s="69"/>
      <c r="Q9" s="69"/>
      <c r="R9" s="69"/>
      <c r="S9" s="69"/>
      <c r="T9" s="89" t="s">
        <v>268</v>
      </c>
      <c r="U9" s="68"/>
      <c r="V9" s="44"/>
      <c r="W9" s="68"/>
      <c r="X9" s="117"/>
      <c r="Y9" s="68"/>
      <c r="Z9" s="89"/>
      <c r="AA9" s="44" t="s">
        <v>269</v>
      </c>
      <c r="AB9" s="141" t="s">
        <v>270</v>
      </c>
      <c r="AC9" s="35"/>
      <c r="AD9" s="57"/>
      <c r="AE9" s="57"/>
      <c r="AF9" s="35"/>
      <c r="AG9" s="57"/>
      <c r="AH9" s="57"/>
      <c r="AI9" s="43"/>
      <c r="AJ9" s="140" t="s">
        <v>271</v>
      </c>
      <c r="AK9" s="57"/>
      <c r="AL9" s="57"/>
      <c r="AM9" s="57"/>
      <c r="AN9" s="89" t="s">
        <v>272</v>
      </c>
      <c r="AO9" s="139">
        <v>18.37</v>
      </c>
      <c r="AP9" s="42">
        <f>AO9/0.444</f>
        <v>41.373873873873876</v>
      </c>
      <c r="AQ9" s="95" t="s">
        <v>273</v>
      </c>
      <c r="AR9" s="96">
        <v>10038568742350</v>
      </c>
      <c r="AS9" s="110">
        <v>7.6</v>
      </c>
      <c r="AT9" s="110">
        <v>7.44</v>
      </c>
      <c r="AU9" s="110">
        <v>2.2799999999999998</v>
      </c>
      <c r="AV9" s="97"/>
      <c r="AW9" s="97"/>
      <c r="AX9" s="97"/>
      <c r="AY9" s="74">
        <f>7.44+(0.018*2)</f>
        <v>7.476</v>
      </c>
      <c r="AZ9" s="74">
        <f>2.75+(0.018*2)</f>
        <v>2.786</v>
      </c>
      <c r="BA9" s="74">
        <f>9.5+(0.018*4)</f>
        <v>9.5719999999999992</v>
      </c>
      <c r="BB9" s="147">
        <f t="shared" si="0"/>
        <v>0.11537437372222221</v>
      </c>
      <c r="BC9" s="74">
        <f>0.419+0.1</f>
        <v>0.51900000000000002</v>
      </c>
      <c r="BD9" s="148">
        <f>10+(0.125*2)</f>
        <v>10.25</v>
      </c>
      <c r="BE9" s="148">
        <f>7.5+(0.125*2)</f>
        <v>7.75</v>
      </c>
      <c r="BF9" s="148">
        <f>10+(0.125*4)</f>
        <v>10.5</v>
      </c>
      <c r="BG9" s="147">
        <f t="shared" si="1"/>
        <v>0.4826931423611111</v>
      </c>
      <c r="BH9" s="74">
        <f>(BC9*3)+0.25</f>
        <v>1.8069999999999999</v>
      </c>
      <c r="BI9" s="149" t="s">
        <v>68</v>
      </c>
      <c r="BJ9" s="149">
        <v>3</v>
      </c>
      <c r="BK9" s="149">
        <v>22</v>
      </c>
      <c r="BL9" s="149">
        <v>4</v>
      </c>
      <c r="BM9" s="49">
        <f t="shared" si="2"/>
        <v>264</v>
      </c>
      <c r="BN9" s="49">
        <f t="shared" si="3"/>
        <v>209.01599999999999</v>
      </c>
      <c r="BO9" s="149" t="s">
        <v>217</v>
      </c>
      <c r="BP9" s="49" t="s">
        <v>67</v>
      </c>
      <c r="BQ9" s="71"/>
      <c r="BR9" s="71"/>
      <c r="BS9" s="71"/>
    </row>
    <row r="10" spans="1:71" s="1" customFormat="1" ht="15.75" x14ac:dyDescent="0.25">
      <c r="A10" s="103">
        <v>42030</v>
      </c>
      <c r="B10" s="149" t="s">
        <v>274</v>
      </c>
      <c r="C10" s="73" t="s">
        <v>216</v>
      </c>
      <c r="D10" s="59" t="s">
        <v>156</v>
      </c>
      <c r="E10" s="116" t="s">
        <v>275</v>
      </c>
      <c r="F10" s="78" t="s">
        <v>72</v>
      </c>
      <c r="G10" s="35" t="s">
        <v>276</v>
      </c>
      <c r="H10" s="78" t="s">
        <v>51</v>
      </c>
      <c r="I10" s="35" t="s">
        <v>277</v>
      </c>
      <c r="J10" s="44"/>
      <c r="K10" s="45"/>
      <c r="L10" s="45"/>
      <c r="M10" s="45"/>
      <c r="N10" s="69"/>
      <c r="O10" s="69"/>
      <c r="P10" s="69"/>
      <c r="Q10" s="69"/>
      <c r="R10" s="69"/>
      <c r="S10" s="69"/>
      <c r="T10" s="89" t="s">
        <v>278</v>
      </c>
      <c r="U10" s="68"/>
      <c r="V10" s="44"/>
      <c r="W10" s="68"/>
      <c r="X10" s="117"/>
      <c r="Y10" s="68"/>
      <c r="Z10" s="89"/>
      <c r="AA10" s="89" t="s">
        <v>279</v>
      </c>
      <c r="AB10" s="141" t="s">
        <v>280</v>
      </c>
      <c r="AC10" s="35"/>
      <c r="AD10" s="57"/>
      <c r="AE10" s="57"/>
      <c r="AF10" s="35"/>
      <c r="AG10" s="57"/>
      <c r="AH10" s="57"/>
      <c r="AI10" s="43"/>
      <c r="AJ10" s="140" t="s">
        <v>281</v>
      </c>
      <c r="AK10" s="57"/>
      <c r="AL10" s="57"/>
      <c r="AM10" s="57"/>
      <c r="AN10" s="89"/>
      <c r="AO10" s="139">
        <v>14.67</v>
      </c>
      <c r="AP10" s="42">
        <f>AO10/0.444</f>
        <v>33.04054054054054</v>
      </c>
      <c r="AQ10" s="95" t="s">
        <v>282</v>
      </c>
      <c r="AR10" s="96">
        <v>10038568742367</v>
      </c>
      <c r="AS10" s="110">
        <v>8.0299999999999994</v>
      </c>
      <c r="AT10" s="110">
        <v>6.02</v>
      </c>
      <c r="AU10" s="110">
        <v>2.2200000000000002</v>
      </c>
      <c r="AV10" s="97"/>
      <c r="AW10" s="97"/>
      <c r="AX10" s="97"/>
      <c r="AY10" s="74">
        <f>9.75+(0.018*2)</f>
        <v>9.7859999999999996</v>
      </c>
      <c r="AZ10" s="74">
        <f>2.31+(0.018*2)</f>
        <v>2.3460000000000001</v>
      </c>
      <c r="BA10" s="74">
        <f>9.75+(0.018*4)</f>
        <v>9.8219999999999992</v>
      </c>
      <c r="BB10" s="147">
        <f t="shared" si="0"/>
        <v>0.13049365962499998</v>
      </c>
      <c r="BC10" s="74">
        <f>0.375+0.1</f>
        <v>0.47499999999999998</v>
      </c>
      <c r="BD10" s="148">
        <f>10+(0.125*2)</f>
        <v>10.25</v>
      </c>
      <c r="BE10" s="148">
        <f>7.5+(0.125*2)</f>
        <v>7.75</v>
      </c>
      <c r="BF10" s="148">
        <f>10+(0.125*4)</f>
        <v>10.5</v>
      </c>
      <c r="BG10" s="147">
        <f t="shared" si="1"/>
        <v>0.4826931423611111</v>
      </c>
      <c r="BH10" s="74">
        <f t="shared" ref="BH10" si="4">(BC10*3)+0.25</f>
        <v>1.6749999999999998</v>
      </c>
      <c r="BI10" s="149" t="s">
        <v>68</v>
      </c>
      <c r="BJ10" s="149">
        <v>3</v>
      </c>
      <c r="BK10" s="149">
        <v>22</v>
      </c>
      <c r="BL10" s="149">
        <v>4</v>
      </c>
      <c r="BM10" s="49">
        <f t="shared" si="2"/>
        <v>264</v>
      </c>
      <c r="BN10" s="49">
        <f t="shared" si="3"/>
        <v>197.39999999999998</v>
      </c>
      <c r="BO10" s="149" t="s">
        <v>217</v>
      </c>
      <c r="BP10" s="49" t="s">
        <v>67</v>
      </c>
      <c r="BQ10" s="71"/>
      <c r="BR10" s="71"/>
      <c r="BS10" s="71"/>
    </row>
    <row r="11" spans="1:71" s="21" customFormat="1" x14ac:dyDescent="0.25">
      <c r="B11" s="18"/>
      <c r="C11" s="18"/>
      <c r="D11" s="18"/>
      <c r="E11" s="18"/>
      <c r="F11" s="18"/>
      <c r="G11" s="14"/>
      <c r="H11" s="4"/>
      <c r="I11" s="4"/>
      <c r="J11" s="4"/>
      <c r="T11" s="4"/>
      <c r="Z11" s="4"/>
      <c r="AA11" s="4"/>
      <c r="AO11" s="19"/>
      <c r="AP11" s="20"/>
      <c r="AQ11" s="4"/>
      <c r="AY11" s="13"/>
      <c r="AZ11" s="13"/>
      <c r="BA11" s="13"/>
      <c r="BB11" s="4"/>
      <c r="BC11" s="13"/>
      <c r="BD11" s="13"/>
      <c r="BE11" s="13"/>
      <c r="BF11" s="13"/>
      <c r="BG11" s="4"/>
      <c r="BH11" s="13"/>
      <c r="BI11" s="4"/>
      <c r="BJ11" s="4"/>
      <c r="BO11" s="4"/>
      <c r="BP11" s="14"/>
    </row>
    <row r="12" spans="1:71" ht="7.5" customHeight="1" x14ac:dyDescent="0.25">
      <c r="B12" s="28"/>
      <c r="C12" s="28"/>
      <c r="D12" s="28"/>
      <c r="E12" s="28"/>
      <c r="F12" s="28"/>
      <c r="G12" s="2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9"/>
      <c r="U12" s="30"/>
      <c r="V12" s="30"/>
      <c r="W12" s="30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32"/>
      <c r="AQ12" s="29"/>
      <c r="AR12" s="30"/>
      <c r="AS12" s="30"/>
      <c r="AT12" s="30"/>
      <c r="AU12" s="30"/>
      <c r="AV12" s="30"/>
      <c r="AW12" s="30"/>
      <c r="AX12" s="30"/>
      <c r="AY12" s="33"/>
      <c r="AZ12" s="33"/>
      <c r="BA12" s="33"/>
      <c r="BB12" s="29"/>
      <c r="BC12" s="33"/>
      <c r="BD12" s="33"/>
      <c r="BE12" s="33"/>
      <c r="BF12" s="33"/>
      <c r="BG12" s="29"/>
      <c r="BH12" s="33"/>
      <c r="BI12" s="29"/>
      <c r="BJ12" s="29"/>
      <c r="BK12" s="30"/>
      <c r="BL12" s="30"/>
      <c r="BM12" s="30"/>
      <c r="BN12" s="30"/>
      <c r="BO12" s="29"/>
      <c r="BP12" s="34"/>
      <c r="BQ12" s="30"/>
      <c r="BR12" s="21"/>
      <c r="BS12" s="21"/>
    </row>
    <row r="13" spans="1:71" ht="7.5" customHeight="1" x14ac:dyDescent="0.25">
      <c r="B13" s="18"/>
      <c r="C13" s="18"/>
      <c r="D13" s="18"/>
      <c r="E13" s="18"/>
      <c r="F13" s="18"/>
      <c r="G13" s="1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U13" s="21"/>
      <c r="V13" s="21"/>
      <c r="W13" s="21"/>
      <c r="X13" s="21"/>
      <c r="Y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19"/>
      <c r="AP13" s="20"/>
      <c r="AR13" s="21"/>
      <c r="AS13" s="21"/>
      <c r="AT13" s="21"/>
      <c r="AU13" s="21"/>
      <c r="AV13" s="21"/>
      <c r="AW13" s="21"/>
      <c r="AX13" s="21"/>
      <c r="AY13" s="13"/>
      <c r="AZ13" s="13"/>
      <c r="BA13" s="13"/>
      <c r="BC13" s="13"/>
      <c r="BD13" s="13"/>
      <c r="BE13" s="13"/>
      <c r="BF13" s="13"/>
      <c r="BH13" s="13"/>
      <c r="BK13" s="21"/>
      <c r="BL13" s="21"/>
      <c r="BM13" s="21"/>
      <c r="BN13" s="21"/>
      <c r="BP13" s="14"/>
      <c r="BQ13" s="21"/>
      <c r="BR13" s="21"/>
      <c r="BS13" s="21"/>
    </row>
    <row r="14" spans="1:71" ht="23.25" x14ac:dyDescent="0.25">
      <c r="B14" s="18"/>
      <c r="C14" s="18"/>
      <c r="D14" s="18"/>
      <c r="E14" s="27" t="s">
        <v>215</v>
      </c>
      <c r="G14" s="18"/>
      <c r="U14" s="21"/>
      <c r="V14" s="21"/>
      <c r="W14" s="21"/>
      <c r="Y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19"/>
      <c r="AP14" s="20"/>
      <c r="AR14" s="21"/>
      <c r="AS14" s="21"/>
      <c r="AT14" s="21"/>
      <c r="AU14" s="21"/>
      <c r="AV14" s="21"/>
      <c r="AW14" s="21"/>
      <c r="AX14" s="21"/>
      <c r="AY14" s="13"/>
      <c r="AZ14" s="13"/>
      <c r="BA14" s="13"/>
      <c r="BC14" s="13"/>
      <c r="BD14" s="13"/>
      <c r="BE14" s="13"/>
      <c r="BF14" s="13"/>
      <c r="BH14" s="13"/>
      <c r="BK14" s="21"/>
      <c r="BL14" s="21"/>
      <c r="BM14" s="21"/>
      <c r="BN14" s="21"/>
      <c r="BP14" s="14"/>
      <c r="BQ14" s="21"/>
      <c r="BR14" s="21"/>
      <c r="BS14" s="21"/>
    </row>
    <row r="15" spans="1:71" s="21" customFormat="1" x14ac:dyDescent="0.2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9"/>
      <c r="AP15" s="20"/>
      <c r="AQ15" s="4"/>
      <c r="AR15" s="4"/>
      <c r="AS15" s="4"/>
      <c r="AT15" s="4"/>
      <c r="AU15" s="4"/>
      <c r="AV15" s="4"/>
      <c r="AW15" s="4"/>
      <c r="AX15" s="4"/>
      <c r="AY15" s="13"/>
      <c r="AZ15" s="13"/>
      <c r="BA15" s="13"/>
      <c r="BB15" s="4"/>
      <c r="BC15" s="13"/>
      <c r="BD15" s="13"/>
      <c r="BE15" s="13"/>
      <c r="BF15" s="13"/>
      <c r="BG15" s="4"/>
      <c r="BH15" s="13"/>
      <c r="BI15" s="4"/>
      <c r="BJ15" s="4"/>
      <c r="BK15" s="4"/>
      <c r="BL15" s="4"/>
      <c r="BO15" s="4"/>
      <c r="BP15" s="14"/>
      <c r="BQ15" s="4"/>
      <c r="BR15" s="4"/>
      <c r="BS15" s="4"/>
    </row>
    <row r="16" spans="1:71" x14ac:dyDescent="0.25">
      <c r="B16" s="18"/>
      <c r="C16" s="18"/>
      <c r="D16" s="18"/>
      <c r="E16" s="5" t="s">
        <v>75</v>
      </c>
      <c r="F16" s="7" t="s">
        <v>87</v>
      </c>
      <c r="G16" s="7" t="s">
        <v>76</v>
      </c>
      <c r="AO16" s="19"/>
      <c r="AP16" s="20"/>
      <c r="AY16" s="13"/>
      <c r="AZ16" s="13"/>
      <c r="BA16" s="13"/>
      <c r="BC16" s="13"/>
      <c r="BD16" s="13"/>
      <c r="BE16" s="13"/>
      <c r="BF16" s="13"/>
      <c r="BH16" s="13"/>
      <c r="BM16" s="21"/>
      <c r="BN16" s="21"/>
      <c r="BP16" s="14"/>
    </row>
    <row r="17" spans="1:71" x14ac:dyDescent="0.25">
      <c r="A17" s="103">
        <v>42030</v>
      </c>
      <c r="B17" s="90" t="s">
        <v>283</v>
      </c>
      <c r="C17" s="23" t="s">
        <v>73</v>
      </c>
      <c r="D17" s="51" t="s">
        <v>156</v>
      </c>
      <c r="E17" s="91">
        <v>42019</v>
      </c>
      <c r="F17" s="58">
        <v>32.36</v>
      </c>
      <c r="G17" s="58">
        <v>17.22</v>
      </c>
      <c r="AO17" s="19"/>
      <c r="AP17" s="20"/>
      <c r="AY17" s="13"/>
      <c r="AZ17" s="13"/>
      <c r="BA17" s="13"/>
      <c r="BC17" s="13"/>
      <c r="BD17" s="13"/>
      <c r="BE17" s="13"/>
      <c r="BF17" s="13"/>
      <c r="BH17" s="13"/>
      <c r="BM17" s="21"/>
      <c r="BN17" s="21"/>
      <c r="BP17" s="14"/>
    </row>
    <row r="18" spans="1:71" x14ac:dyDescent="0.25">
      <c r="B18" s="23"/>
      <c r="C18" s="23"/>
      <c r="D18" s="23"/>
      <c r="E18" s="91"/>
      <c r="F18" s="58"/>
      <c r="G18" s="58"/>
      <c r="AO18" s="19"/>
      <c r="AP18" s="20"/>
      <c r="AY18" s="13"/>
      <c r="AZ18" s="13"/>
      <c r="BA18" s="13"/>
      <c r="BC18" s="13"/>
      <c r="BD18" s="13"/>
      <c r="BE18" s="13"/>
      <c r="BF18" s="13"/>
      <c r="BH18" s="13"/>
      <c r="BM18" s="21"/>
      <c r="BN18" s="21"/>
      <c r="BP18" s="14"/>
    </row>
    <row r="19" spans="1:71" x14ac:dyDescent="0.25">
      <c r="B19" s="23"/>
      <c r="C19" s="23"/>
      <c r="D19" s="23"/>
      <c r="E19" s="62"/>
      <c r="F19" s="58"/>
      <c r="G19" s="5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  <c r="V19" s="21"/>
      <c r="W19" s="21"/>
      <c r="X19" s="21"/>
      <c r="Y19" s="21"/>
      <c r="AD19" s="21"/>
      <c r="AE19" s="21"/>
      <c r="AF19" s="21"/>
      <c r="AG19" s="21"/>
      <c r="AH19" s="21"/>
      <c r="AI19" s="21"/>
      <c r="AL19" s="21"/>
      <c r="AM19" s="21"/>
      <c r="AN19" s="21"/>
      <c r="AO19" s="19"/>
      <c r="AP19" s="20"/>
      <c r="AR19" s="21"/>
      <c r="AS19" s="21"/>
      <c r="AT19" s="21"/>
      <c r="AU19" s="21"/>
      <c r="AV19" s="21"/>
      <c r="AW19" s="21"/>
      <c r="AX19" s="21"/>
      <c r="AY19" s="13"/>
      <c r="AZ19" s="13"/>
      <c r="BA19" s="13"/>
      <c r="BC19" s="13"/>
      <c r="BD19" s="13"/>
      <c r="BE19" s="13"/>
      <c r="BF19" s="13"/>
      <c r="BH19" s="13"/>
      <c r="BK19" s="21"/>
      <c r="BL19" s="21"/>
      <c r="BM19" s="21"/>
      <c r="BN19" s="21"/>
      <c r="BP19" s="14"/>
      <c r="BQ19" s="21"/>
      <c r="BR19" s="21"/>
      <c r="BS19" s="21"/>
    </row>
    <row r="20" spans="1:71" x14ac:dyDescent="0.25">
      <c r="B20" s="18"/>
      <c r="C20" s="18"/>
      <c r="D20" s="18"/>
      <c r="E20" s="18"/>
      <c r="F20" s="18"/>
      <c r="G20" s="18"/>
      <c r="AP20" s="20"/>
      <c r="AQ20" s="21"/>
      <c r="BN20" s="21"/>
      <c r="BP20" s="14"/>
    </row>
    <row r="21" spans="1:71" ht="7.5" customHeight="1" x14ac:dyDescent="0.25">
      <c r="B21" s="28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U21" s="21"/>
      <c r="V21" s="21"/>
      <c r="W21" s="21"/>
      <c r="X21" s="21"/>
      <c r="Y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9"/>
      <c r="AP21" s="20"/>
      <c r="AR21" s="21"/>
      <c r="AS21" s="21"/>
      <c r="AT21" s="21"/>
      <c r="AU21" s="21"/>
      <c r="AV21" s="21"/>
      <c r="AW21" s="21"/>
      <c r="AX21" s="21"/>
      <c r="AY21" s="13"/>
      <c r="AZ21" s="13"/>
      <c r="BA21" s="13"/>
      <c r="BC21" s="13"/>
      <c r="BD21" s="13"/>
      <c r="BE21" s="13"/>
      <c r="BF21" s="13"/>
      <c r="BH21" s="13"/>
      <c r="BK21" s="21"/>
      <c r="BL21" s="21"/>
      <c r="BM21" s="21"/>
      <c r="BN21" s="21"/>
      <c r="BP21" s="14"/>
      <c r="BQ21" s="21"/>
      <c r="BR21" s="21"/>
      <c r="BS21" s="21"/>
    </row>
    <row r="22" spans="1:71" ht="7.5" customHeight="1" x14ac:dyDescent="0.25">
      <c r="B22" s="18"/>
      <c r="C22" s="18"/>
      <c r="D22" s="18"/>
      <c r="E22" s="18"/>
      <c r="F22" s="18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U22" s="21"/>
      <c r="V22" s="21"/>
      <c r="W22" s="21"/>
      <c r="X22" s="21"/>
      <c r="Y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19"/>
      <c r="AP22" s="20"/>
      <c r="AR22" s="21"/>
      <c r="AS22" s="21"/>
      <c r="AT22" s="21"/>
      <c r="AU22" s="21"/>
      <c r="AV22" s="21"/>
      <c r="AW22" s="21"/>
      <c r="AX22" s="21"/>
      <c r="AY22" s="13"/>
      <c r="AZ22" s="13"/>
      <c r="BA22" s="13"/>
      <c r="BC22" s="13"/>
      <c r="BD22" s="13"/>
      <c r="BE22" s="13"/>
      <c r="BF22" s="13"/>
      <c r="BH22" s="13"/>
      <c r="BK22" s="21"/>
      <c r="BL22" s="21"/>
      <c r="BM22" s="21"/>
      <c r="BN22" s="21"/>
      <c r="BP22" s="14"/>
      <c r="BQ22" s="21"/>
      <c r="BR22" s="21"/>
      <c r="BS22" s="21"/>
    </row>
    <row r="23" spans="1:71" ht="23.25" x14ac:dyDescent="0.25">
      <c r="B23" s="18"/>
      <c r="C23" s="18"/>
      <c r="D23" s="18"/>
      <c r="E23" s="41" t="s">
        <v>79</v>
      </c>
      <c r="G23" s="18"/>
      <c r="AP23" s="20"/>
      <c r="AQ23" s="21"/>
      <c r="BN23" s="21"/>
      <c r="BP23" s="14"/>
    </row>
    <row r="24" spans="1:71" ht="16.5" customHeight="1" x14ac:dyDescent="0.25">
      <c r="B24" s="18"/>
      <c r="C24" s="18"/>
      <c r="D24" s="18"/>
      <c r="E24" s="18"/>
      <c r="F24" s="26"/>
      <c r="G24" s="18"/>
      <c r="AP24" s="20"/>
      <c r="AQ24" s="21"/>
      <c r="BN24" s="21"/>
      <c r="BP24" s="14"/>
    </row>
    <row r="25" spans="1:71" s="15" customFormat="1" x14ac:dyDescent="0.25">
      <c r="B25" s="4"/>
      <c r="C25" s="4"/>
      <c r="D25" s="4"/>
      <c r="E25" s="5" t="s">
        <v>77</v>
      </c>
      <c r="F25" s="39" t="s">
        <v>78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9"/>
      <c r="AP25" s="20"/>
      <c r="AQ25" s="21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21"/>
      <c r="BO25" s="4"/>
      <c r="BP25" s="4"/>
      <c r="BQ25" s="4"/>
      <c r="BR25" s="4"/>
      <c r="BS25" s="4"/>
    </row>
    <row r="26" spans="1:71" ht="36.75" customHeight="1" x14ac:dyDescent="0.25">
      <c r="A26" s="103">
        <v>42030</v>
      </c>
      <c r="B26" s="142" t="s">
        <v>284</v>
      </c>
      <c r="C26" s="46" t="s">
        <v>73</v>
      </c>
      <c r="D26" s="143" t="s">
        <v>285</v>
      </c>
      <c r="E26" s="35" t="s">
        <v>286</v>
      </c>
      <c r="F26" s="35" t="s">
        <v>287</v>
      </c>
      <c r="G26" s="102"/>
      <c r="AO26" s="19"/>
      <c r="AP26" s="20"/>
      <c r="AQ26" s="21"/>
      <c r="BN26" s="21"/>
    </row>
    <row r="27" spans="1:71" x14ac:dyDescent="0.25">
      <c r="B27" s="36"/>
      <c r="C27" s="24"/>
      <c r="D27" s="54"/>
      <c r="E27" s="35"/>
      <c r="F27" s="35"/>
      <c r="G27" s="102"/>
      <c r="U27" s="21"/>
      <c r="V27" s="21"/>
      <c r="W27" s="21"/>
      <c r="Y27" s="21"/>
      <c r="AA27" s="21"/>
      <c r="AB27" s="21"/>
      <c r="AD27" s="21"/>
      <c r="AE27" s="21"/>
      <c r="AG27" s="21"/>
      <c r="AH27" s="21"/>
      <c r="AI27" s="21"/>
      <c r="AJ27" s="21"/>
      <c r="AK27" s="21"/>
      <c r="AL27" s="21"/>
      <c r="AM27" s="21"/>
      <c r="AN27" s="21"/>
      <c r="AO27" s="19"/>
      <c r="AP27" s="20"/>
      <c r="AQ27" s="21"/>
      <c r="AR27" s="21"/>
      <c r="AS27" s="21"/>
      <c r="AT27" s="21"/>
      <c r="AU27" s="21"/>
      <c r="AV27" s="21"/>
      <c r="AW27" s="21"/>
      <c r="AX27" s="21"/>
      <c r="AZ27" s="21"/>
      <c r="BA27" s="21"/>
      <c r="BB27" s="21"/>
      <c r="BC27" s="21"/>
      <c r="BD27" s="21"/>
      <c r="BE27" s="21"/>
      <c r="BF27" s="21"/>
      <c r="BG27" s="21"/>
      <c r="BH27" s="21"/>
      <c r="BJ27" s="21"/>
      <c r="BK27" s="21"/>
      <c r="BL27" s="21"/>
      <c r="BM27" s="21"/>
      <c r="BN27" s="21"/>
      <c r="BO27" s="21"/>
      <c r="BP27" s="14"/>
      <c r="BQ27" s="21"/>
      <c r="BR27" s="21"/>
      <c r="BS27" s="21"/>
    </row>
    <row r="28" spans="1:71" s="15" customFormat="1" x14ac:dyDescent="0.25">
      <c r="B28" s="25"/>
      <c r="C28" s="24"/>
      <c r="D28" s="24"/>
      <c r="E28" s="35"/>
      <c r="F28" s="101"/>
      <c r="G28" s="1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s="15" customFormat="1" x14ac:dyDescent="0.25">
      <c r="B29" s="25"/>
      <c r="C29" s="23"/>
      <c r="D29" s="24"/>
      <c r="E29" s="35"/>
      <c r="F29" s="101"/>
      <c r="G29" s="10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s="15" customFormat="1" x14ac:dyDescent="0.25">
      <c r="B30" s="21"/>
      <c r="C30" s="21"/>
      <c r="D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s="15" customFormat="1" x14ac:dyDescent="0.25">
      <c r="B31" s="21"/>
      <c r="C31" s="21"/>
      <c r="D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15" customFormat="1" x14ac:dyDescent="0.25">
      <c r="B32" s="21"/>
      <c r="C32" s="21"/>
      <c r="D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2:71" s="15" customFormat="1" x14ac:dyDescent="0.25">
      <c r="B33" s="21"/>
      <c r="C33" s="21"/>
      <c r="D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2:71" s="15" customFormat="1" x14ac:dyDescent="0.25">
      <c r="B34" s="21"/>
      <c r="C34" s="21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2:71" s="15" customFormat="1" x14ac:dyDescent="0.25">
      <c r="B35" s="21"/>
      <c r="C35" s="21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2:71" s="15" customFormat="1" x14ac:dyDescent="0.25">
      <c r="B36" s="21"/>
      <c r="C36" s="21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s="15" customFormat="1" x14ac:dyDescent="0.25">
      <c r="B37" s="21"/>
      <c r="C37" s="21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s="15" customFormat="1" x14ac:dyDescent="0.25">
      <c r="B38" s="21"/>
      <c r="C38" s="21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s="15" customFormat="1" x14ac:dyDescent="0.25">
      <c r="B39" s="21"/>
      <c r="C39" s="21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15" customFormat="1" x14ac:dyDescent="0.25">
      <c r="B40" s="21"/>
      <c r="C40" s="21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15" customFormat="1" x14ac:dyDescent="0.25">
      <c r="B41" s="21"/>
      <c r="C41" s="21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15" customFormat="1" x14ac:dyDescent="0.25">
      <c r="B42" s="21"/>
      <c r="C42" s="21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15" customFormat="1" x14ac:dyDescent="0.25">
      <c r="B43" s="21"/>
      <c r="C43" s="2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15" customFormat="1" x14ac:dyDescent="0.25">
      <c r="B44" s="21"/>
      <c r="C44" s="2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15" customFormat="1" x14ac:dyDescent="0.25">
      <c r="B45" s="21"/>
      <c r="C45" s="2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15" customFormat="1" x14ac:dyDescent="0.25">
      <c r="B46" s="21"/>
      <c r="C46" s="2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s="15" customFormat="1" x14ac:dyDescent="0.25">
      <c r="B47" s="21"/>
      <c r="C47" s="2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15" customFormat="1" x14ac:dyDescent="0.25">
      <c r="B48" s="21"/>
      <c r="C48" s="2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s="15" customFormat="1" x14ac:dyDescent="0.25">
      <c r="B49" s="21"/>
      <c r="C49" s="2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s="15" customFormat="1" x14ac:dyDescent="0.25">
      <c r="B50" s="21"/>
      <c r="C50" s="2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s="15" customFormat="1" x14ac:dyDescent="0.25">
      <c r="B51" s="21"/>
      <c r="C51" s="2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s="15" customFormat="1" x14ac:dyDescent="0.25">
      <c r="B52" s="21"/>
      <c r="C52" s="2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s="15" customFormat="1" x14ac:dyDescent="0.25">
      <c r="B53" s="21"/>
      <c r="C53" s="2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s="15" customFormat="1" x14ac:dyDescent="0.25">
      <c r="B54" s="21"/>
      <c r="C54" s="2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s="15" customFormat="1" x14ac:dyDescent="0.25">
      <c r="B55" s="21"/>
      <c r="C55" s="2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s="15" customFormat="1" x14ac:dyDescent="0.25">
      <c r="B56" s="21"/>
      <c r="C56" s="2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5" customFormat="1" x14ac:dyDescent="0.25">
      <c r="B57" s="21"/>
      <c r="C57" s="2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s="15" customFormat="1" x14ac:dyDescent="0.25">
      <c r="B58" s="21"/>
      <c r="C58" s="2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s="15" customFormat="1" x14ac:dyDescent="0.25">
      <c r="B59" s="21"/>
      <c r="C59" s="2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s="15" customFormat="1" x14ac:dyDescent="0.25">
      <c r="B60" s="21"/>
      <c r="C60" s="2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s="15" customFormat="1" x14ac:dyDescent="0.25">
      <c r="B61" s="21"/>
      <c r="C61" s="2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s="15" customFormat="1" x14ac:dyDescent="0.25">
      <c r="B62" s="21"/>
      <c r="C62" s="2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s="15" customFormat="1" x14ac:dyDescent="0.25">
      <c r="B63" s="21"/>
      <c r="C63" s="2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s="15" customFormat="1" x14ac:dyDescent="0.25">
      <c r="B64" s="21"/>
      <c r="C64" s="2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2:71" s="15" customFormat="1" x14ac:dyDescent="0.25">
      <c r="B65" s="21"/>
      <c r="C65" s="2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2:71" s="15" customFormat="1" x14ac:dyDescent="0.25">
      <c r="B66" s="21"/>
      <c r="C66" s="2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2:71" s="15" customFormat="1" x14ac:dyDescent="0.25">
      <c r="B67" s="21"/>
      <c r="C67" s="2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2:71" s="15" customFormat="1" x14ac:dyDescent="0.25">
      <c r="B68" s="21"/>
      <c r="C68" s="2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2:71" s="15" customFormat="1" x14ac:dyDescent="0.25">
      <c r="B69" s="21"/>
      <c r="C69" s="2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2:71" s="15" customFormat="1" x14ac:dyDescent="0.25">
      <c r="B70" s="21"/>
      <c r="C70" s="2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2:71" s="15" customFormat="1" x14ac:dyDescent="0.25">
      <c r="B71" s="21"/>
      <c r="C71" s="2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71" s="15" customFormat="1" x14ac:dyDescent="0.25">
      <c r="B72" s="21"/>
      <c r="C72" s="2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2:71" s="15" customFormat="1" x14ac:dyDescent="0.25">
      <c r="B73" s="21"/>
      <c r="C73" s="2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2:71" s="15" customFormat="1" x14ac:dyDescent="0.25">
      <c r="B74" s="21"/>
      <c r="C74" s="2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2:71" s="15" customFormat="1" x14ac:dyDescent="0.25">
      <c r="B75" s="21"/>
      <c r="C75" s="2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2:71" s="15" customFormat="1" x14ac:dyDescent="0.25">
      <c r="B76" s="21"/>
      <c r="C76" s="2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2:71" s="15" customFormat="1" x14ac:dyDescent="0.25">
      <c r="B77" s="21"/>
      <c r="C77" s="2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2:71" s="15" customFormat="1" x14ac:dyDescent="0.25">
      <c r="B78" s="21"/>
      <c r="C78" s="2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2:71" s="15" customFormat="1" x14ac:dyDescent="0.25">
      <c r="B79" s="21"/>
      <c r="C79" s="2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2:71" s="15" customFormat="1" x14ac:dyDescent="0.25">
      <c r="B80" s="21"/>
      <c r="C80" s="2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2:71" s="15" customFormat="1" x14ac:dyDescent="0.25">
      <c r="B81" s="21"/>
      <c r="C81" s="2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2:71" s="15" customFormat="1" x14ac:dyDescent="0.25">
      <c r="B82" s="21"/>
      <c r="C82" s="2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2:71" s="15" customFormat="1" x14ac:dyDescent="0.25">
      <c r="B83" s="21"/>
      <c r="C83" s="2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2:71" s="15" customFormat="1" x14ac:dyDescent="0.25">
      <c r="B84" s="21"/>
      <c r="C84" s="2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2:71" s="15" customFormat="1" x14ac:dyDescent="0.25">
      <c r="B85" s="21"/>
      <c r="C85" s="2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2:71" s="15" customFormat="1" x14ac:dyDescent="0.25">
      <c r="B86" s="21"/>
      <c r="C86" s="2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2:71" s="15" customFormat="1" x14ac:dyDescent="0.25">
      <c r="B87" s="21"/>
      <c r="C87" s="2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2:71" s="15" customFormat="1" x14ac:dyDescent="0.25">
      <c r="B88" s="21"/>
      <c r="C88" s="2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2:71" s="15" customFormat="1" x14ac:dyDescent="0.25">
      <c r="B89" s="21"/>
      <c r="C89" s="2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2:71" s="15" customFormat="1" x14ac:dyDescent="0.25">
      <c r="B90" s="21"/>
      <c r="C90" s="2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2:71" s="15" customFormat="1" x14ac:dyDescent="0.25">
      <c r="B91" s="21"/>
      <c r="C91" s="2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2:71" s="15" customFormat="1" x14ac:dyDescent="0.25">
      <c r="B92" s="21"/>
      <c r="C92" s="2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2:71" s="15" customFormat="1" x14ac:dyDescent="0.25">
      <c r="B93" s="21"/>
      <c r="C93" s="2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2:71" s="15" customFormat="1" x14ac:dyDescent="0.25">
      <c r="B94" s="21"/>
      <c r="C94" s="2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2:71" s="15" customFormat="1" x14ac:dyDescent="0.25">
      <c r="B95" s="21"/>
      <c r="C95" s="2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2:71" s="15" customFormat="1" x14ac:dyDescent="0.25">
      <c r="B96" s="21"/>
      <c r="C96" s="2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2:71" s="15" customFormat="1" x14ac:dyDescent="0.25">
      <c r="B97" s="21"/>
      <c r="C97" s="2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2:71" s="15" customFormat="1" x14ac:dyDescent="0.25">
      <c r="B98" s="21"/>
      <c r="C98" s="2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2:71" s="15" customFormat="1" x14ac:dyDescent="0.25">
      <c r="B99" s="21"/>
      <c r="C99" s="2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2:71" s="15" customFormat="1" x14ac:dyDescent="0.25">
      <c r="B100" s="21"/>
      <c r="C100" s="2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2:71" s="15" customFormat="1" x14ac:dyDescent="0.25">
      <c r="B101" s="21"/>
      <c r="C101" s="2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2:71" s="15" customFormat="1" x14ac:dyDescent="0.25">
      <c r="B102" s="21"/>
      <c r="C102" s="2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2:71" s="15" customFormat="1" x14ac:dyDescent="0.25">
      <c r="B103" s="21"/>
      <c r="C103" s="2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2:71" s="15" customFormat="1" x14ac:dyDescent="0.25">
      <c r="B104" s="21"/>
      <c r="C104" s="2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2:71" s="15" customFormat="1" x14ac:dyDescent="0.25">
      <c r="B105" s="21"/>
      <c r="C105" s="2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2:71" s="15" customFormat="1" x14ac:dyDescent="0.25">
      <c r="B106" s="21"/>
      <c r="C106" s="2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2:71" s="15" customFormat="1" x14ac:dyDescent="0.25">
      <c r="B107" s="21"/>
      <c r="C107" s="2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2:71" s="15" customFormat="1" x14ac:dyDescent="0.25">
      <c r="B108" s="21"/>
      <c r="C108" s="2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2:71" s="15" customFormat="1" x14ac:dyDescent="0.25">
      <c r="B109" s="21"/>
      <c r="C109" s="2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2:71" s="15" customFormat="1" x14ac:dyDescent="0.25">
      <c r="B110" s="21"/>
      <c r="C110" s="2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2:71" s="15" customFormat="1" x14ac:dyDescent="0.25">
      <c r="B111" s="21"/>
      <c r="C111" s="2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2:71" s="15" customFormat="1" x14ac:dyDescent="0.25">
      <c r="B112" s="21"/>
      <c r="C112" s="2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s="15" customFormat="1" x14ac:dyDescent="0.25">
      <c r="B113" s="21"/>
      <c r="C113" s="2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s="15" customFormat="1" x14ac:dyDescent="0.25">
      <c r="B114" s="21"/>
      <c r="C114" s="2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s="15" customFormat="1" x14ac:dyDescent="0.25">
      <c r="B115" s="21"/>
      <c r="C115" s="2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s="15" customFormat="1" x14ac:dyDescent="0.25">
      <c r="B116" s="21"/>
      <c r="C116" s="2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s="15" customFormat="1" x14ac:dyDescent="0.25">
      <c r="B117" s="21"/>
      <c r="C117" s="2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s="15" customFormat="1" x14ac:dyDescent="0.25">
      <c r="B118" s="21"/>
      <c r="C118" s="2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s="15" customFormat="1" x14ac:dyDescent="0.25">
      <c r="B119" s="21"/>
      <c r="C119" s="2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s="15" customFormat="1" x14ac:dyDescent="0.25">
      <c r="B120" s="21"/>
      <c r="C120" s="2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s="15" customFormat="1" x14ac:dyDescent="0.25">
      <c r="B121" s="21"/>
      <c r="C121" s="2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s="15" customFormat="1" x14ac:dyDescent="0.25">
      <c r="B122" s="21"/>
      <c r="C122" s="2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s="15" customFormat="1" x14ac:dyDescent="0.25">
      <c r="B123" s="21"/>
      <c r="C123" s="2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s="15" customFormat="1" x14ac:dyDescent="0.25">
      <c r="B124" s="21"/>
      <c r="C124" s="2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s="15" customFormat="1" x14ac:dyDescent="0.25">
      <c r="B125" s="21"/>
      <c r="C125" s="2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s="15" customFormat="1" x14ac:dyDescent="0.25">
      <c r="B126" s="21"/>
      <c r="C126" s="2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s="15" customFormat="1" x14ac:dyDescent="0.25">
      <c r="B127" s="21"/>
      <c r="C127" s="2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s="15" customFormat="1" x14ac:dyDescent="0.25">
      <c r="B128" s="21"/>
      <c r="C128" s="2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s="15" customFormat="1" x14ac:dyDescent="0.25">
      <c r="B129" s="21"/>
      <c r="C129" s="2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2:71" s="15" customFormat="1" x14ac:dyDescent="0.25">
      <c r="B130" s="21"/>
      <c r="C130" s="2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2:71" s="15" customFormat="1" x14ac:dyDescent="0.25">
      <c r="B131" s="21"/>
      <c r="C131" s="2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2:71" s="15" customFormat="1" x14ac:dyDescent="0.25">
      <c r="B132" s="21"/>
      <c r="C132" s="2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</sheetData>
  <mergeCells count="8">
    <mergeCell ref="BI4:BP4"/>
    <mergeCell ref="AY8:BC8"/>
    <mergeCell ref="T4:AN4"/>
    <mergeCell ref="AO4:AP4"/>
    <mergeCell ref="AQ4:AR4"/>
    <mergeCell ref="AS4:AX4"/>
    <mergeCell ref="AY4:BC4"/>
    <mergeCell ref="BD4:BH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S136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3" sqref="D23"/>
    </sheetView>
  </sheetViews>
  <sheetFormatPr defaultColWidth="9.140625" defaultRowHeight="15" x14ac:dyDescent="0.25"/>
  <cols>
    <col min="1" max="1" width="10.28515625" style="4" hidden="1" customWidth="1"/>
    <col min="2" max="2" width="12.28515625" style="21" bestFit="1" customWidth="1"/>
    <col min="3" max="3" width="8.7109375" style="21" bestFit="1" customWidth="1"/>
    <col min="4" max="4" width="29" style="4" customWidth="1"/>
    <col min="5" max="5" width="51" style="15" customWidth="1"/>
    <col min="6" max="6" width="22.7109375" style="4" customWidth="1"/>
    <col min="7" max="7" width="18.4257812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9.140625" style="4" customWidth="1"/>
    <col min="43" max="43" width="14.85546875" style="4" customWidth="1"/>
    <col min="44" max="44" width="17.140625" style="4" customWidth="1"/>
    <col min="45" max="45" width="11.5703125" style="4" bestFit="1" customWidth="1"/>
    <col min="46" max="46" width="11.140625" style="4" bestFit="1" customWidth="1"/>
    <col min="47" max="47" width="11.42578125" style="4" bestFit="1" customWidth="1"/>
    <col min="48" max="48" width="8.28515625" style="4" bestFit="1" customWidth="1"/>
    <col min="49" max="49" width="11.42578125" style="4" bestFit="1" customWidth="1"/>
    <col min="50" max="50" width="8.85546875" style="4" bestFit="1" customWidth="1"/>
    <col min="51" max="51" width="7" style="4" bestFit="1" customWidth="1"/>
    <col min="52" max="52" width="17.85546875" style="4" customWidth="1"/>
    <col min="53" max="53" width="6.85546875" style="4" bestFit="1" customWidth="1"/>
    <col min="54" max="54" width="6.7109375" style="4" customWidth="1"/>
    <col min="55" max="55" width="7.5703125" style="4" bestFit="1" customWidth="1"/>
    <col min="56" max="56" width="7" style="4" bestFit="1" customWidth="1"/>
    <col min="57" max="57" width="20.140625" style="4" bestFit="1" customWidth="1"/>
    <col min="58" max="58" width="6.85546875" style="4" bestFit="1" customWidth="1"/>
    <col min="59" max="59" width="5.5703125" style="4" bestFit="1" customWidth="1"/>
    <col min="60" max="60" width="7.5703125" style="4" bestFit="1" customWidth="1"/>
    <col min="61" max="61" width="17.85546875" style="4" customWidth="1"/>
    <col min="62" max="62" width="10.42578125" style="4" bestFit="1" customWidth="1"/>
    <col min="63" max="63" width="12" style="4" bestFit="1" customWidth="1"/>
    <col min="64" max="65" width="14.42578125" style="4" bestFit="1" customWidth="1"/>
    <col min="66" max="66" width="13.28515625" style="4" bestFit="1" customWidth="1"/>
    <col min="67" max="67" width="16.28515625" style="4" bestFit="1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16384" width="9.140625" style="4"/>
  </cols>
  <sheetData>
    <row r="2" spans="1:71" ht="23.25" x14ac:dyDescent="0.25">
      <c r="E2" s="2" t="s">
        <v>184</v>
      </c>
      <c r="G2" s="2"/>
      <c r="H2" s="3"/>
    </row>
    <row r="3" spans="1:71" ht="20.25" x14ac:dyDescent="0.25">
      <c r="E3" s="55">
        <v>42013</v>
      </c>
    </row>
    <row r="4" spans="1:71" ht="15.75" customHeight="1" x14ac:dyDescent="0.25">
      <c r="D4" s="16" t="s">
        <v>17</v>
      </c>
      <c r="F4" s="65"/>
      <c r="G4" s="65"/>
      <c r="H4" s="66" t="s">
        <v>15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09" t="s">
        <v>16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 t="s">
        <v>85</v>
      </c>
      <c r="AP4" s="210"/>
      <c r="AQ4" s="211" t="s">
        <v>19</v>
      </c>
      <c r="AR4" s="211"/>
      <c r="AS4" s="212" t="s">
        <v>91</v>
      </c>
      <c r="AT4" s="212"/>
      <c r="AU4" s="212"/>
      <c r="AV4" s="212"/>
      <c r="AW4" s="212"/>
      <c r="AX4" s="212"/>
      <c r="AY4" s="213" t="s">
        <v>22</v>
      </c>
      <c r="AZ4" s="213"/>
      <c r="BA4" s="213"/>
      <c r="BB4" s="213"/>
      <c r="BC4" s="213"/>
      <c r="BD4" s="208" t="s">
        <v>28</v>
      </c>
      <c r="BE4" s="208"/>
      <c r="BF4" s="208"/>
      <c r="BG4" s="208"/>
      <c r="BH4" s="208"/>
      <c r="BI4" s="207" t="s">
        <v>34</v>
      </c>
      <c r="BJ4" s="207"/>
      <c r="BK4" s="207"/>
      <c r="BL4" s="207"/>
      <c r="BM4" s="207"/>
      <c r="BN4" s="207"/>
      <c r="BO4" s="207"/>
      <c r="BP4" s="207"/>
    </row>
    <row r="5" spans="1:71" x14ac:dyDescent="0.25">
      <c r="B5" s="17" t="s">
        <v>0</v>
      </c>
      <c r="C5" s="22" t="s">
        <v>83</v>
      </c>
      <c r="D5" s="17" t="s">
        <v>2</v>
      </c>
      <c r="E5" s="5" t="s">
        <v>1</v>
      </c>
      <c r="F5" s="6" t="s">
        <v>3</v>
      </c>
      <c r="G5" s="6" t="s">
        <v>7</v>
      </c>
      <c r="H5" s="6" t="s">
        <v>4</v>
      </c>
      <c r="I5" s="6" t="s">
        <v>6</v>
      </c>
      <c r="J5" s="6" t="s">
        <v>5</v>
      </c>
      <c r="K5" s="6" t="s">
        <v>56</v>
      </c>
      <c r="L5" s="6" t="s">
        <v>54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80</v>
      </c>
      <c r="S5" s="6" t="s">
        <v>61</v>
      </c>
      <c r="T5" s="7" t="s">
        <v>8</v>
      </c>
      <c r="U5" s="7" t="s">
        <v>47</v>
      </c>
      <c r="V5" s="7" t="s">
        <v>9</v>
      </c>
      <c r="W5" s="7" t="s">
        <v>36</v>
      </c>
      <c r="X5" s="7" t="s">
        <v>10</v>
      </c>
      <c r="Y5" s="7" t="s">
        <v>48</v>
      </c>
      <c r="Z5" s="7" t="s">
        <v>11</v>
      </c>
      <c r="AA5" s="7" t="s">
        <v>53</v>
      </c>
      <c r="AB5" s="7" t="s">
        <v>12</v>
      </c>
      <c r="AC5" s="7" t="s">
        <v>52</v>
      </c>
      <c r="AD5" s="7" t="s">
        <v>49</v>
      </c>
      <c r="AE5" s="7" t="s">
        <v>14</v>
      </c>
      <c r="AF5" s="7" t="s">
        <v>37</v>
      </c>
      <c r="AG5" s="7" t="s">
        <v>50</v>
      </c>
      <c r="AH5" s="7" t="s">
        <v>51</v>
      </c>
      <c r="AI5" s="7" t="s">
        <v>46</v>
      </c>
      <c r="AJ5" s="7" t="s">
        <v>38</v>
      </c>
      <c r="AK5" s="7" t="s">
        <v>86</v>
      </c>
      <c r="AL5" s="7" t="s">
        <v>39</v>
      </c>
      <c r="AM5" s="7" t="s">
        <v>40</v>
      </c>
      <c r="AN5" s="7" t="s">
        <v>13</v>
      </c>
      <c r="AO5" s="11" t="s">
        <v>20</v>
      </c>
      <c r="AP5" s="11" t="s">
        <v>21</v>
      </c>
      <c r="AQ5" s="8" t="s">
        <v>18</v>
      </c>
      <c r="AR5" s="8" t="s">
        <v>55</v>
      </c>
      <c r="AS5" s="70" t="s">
        <v>23</v>
      </c>
      <c r="AT5" s="70" t="s">
        <v>24</v>
      </c>
      <c r="AU5" s="70" t="s">
        <v>25</v>
      </c>
      <c r="AV5" s="70" t="s">
        <v>92</v>
      </c>
      <c r="AW5" s="70" t="s">
        <v>25</v>
      </c>
      <c r="AX5" s="70" t="s">
        <v>93</v>
      </c>
      <c r="AY5" s="9" t="s">
        <v>23</v>
      </c>
      <c r="AZ5" s="9" t="s">
        <v>24</v>
      </c>
      <c r="BA5" s="9" t="s">
        <v>25</v>
      </c>
      <c r="BB5" s="9" t="s">
        <v>26</v>
      </c>
      <c r="BC5" s="9" t="s">
        <v>27</v>
      </c>
      <c r="BD5" s="10" t="s">
        <v>23</v>
      </c>
      <c r="BE5" s="10" t="s">
        <v>24</v>
      </c>
      <c r="BF5" s="10" t="s">
        <v>25</v>
      </c>
      <c r="BG5" s="10" t="s">
        <v>26</v>
      </c>
      <c r="BH5" s="10" t="s">
        <v>27</v>
      </c>
      <c r="BI5" s="11" t="s">
        <v>45</v>
      </c>
      <c r="BJ5" s="12" t="s">
        <v>29</v>
      </c>
      <c r="BK5" s="12" t="s">
        <v>30</v>
      </c>
      <c r="BL5" s="12" t="s">
        <v>31</v>
      </c>
      <c r="BM5" s="12" t="s">
        <v>32</v>
      </c>
      <c r="BN5" s="12" t="s">
        <v>33</v>
      </c>
      <c r="BO5" s="12" t="s">
        <v>35</v>
      </c>
      <c r="BP5" s="12" t="s">
        <v>44</v>
      </c>
      <c r="BQ5" s="12" t="s">
        <v>41</v>
      </c>
      <c r="BR5" s="12" t="s">
        <v>42</v>
      </c>
      <c r="BS5" s="12" t="s">
        <v>43</v>
      </c>
    </row>
    <row r="6" spans="1:71" s="1" customFormat="1" ht="30" x14ac:dyDescent="0.25">
      <c r="A6" s="103">
        <v>42012</v>
      </c>
      <c r="B6" s="59" t="s">
        <v>147</v>
      </c>
      <c r="C6" s="73" t="s">
        <v>73</v>
      </c>
      <c r="D6" s="59" t="s">
        <v>155</v>
      </c>
      <c r="E6" s="56" t="s">
        <v>189</v>
      </c>
      <c r="F6" s="78" t="s">
        <v>66</v>
      </c>
      <c r="G6" s="35" t="s">
        <v>185</v>
      </c>
      <c r="H6" s="78" t="s">
        <v>66</v>
      </c>
      <c r="I6" s="35" t="s">
        <v>186</v>
      </c>
      <c r="J6" s="44"/>
      <c r="K6" s="45"/>
      <c r="L6" s="45"/>
      <c r="M6" s="45"/>
      <c r="N6" s="69"/>
      <c r="O6" s="69"/>
      <c r="P6" s="69"/>
      <c r="Q6" s="69"/>
      <c r="R6" s="69"/>
      <c r="S6" s="69"/>
      <c r="T6" s="89" t="s">
        <v>157</v>
      </c>
      <c r="U6" s="68"/>
      <c r="V6" s="44"/>
      <c r="W6" s="68"/>
      <c r="X6" s="117"/>
      <c r="Y6" s="68"/>
      <c r="Z6" s="89" t="s">
        <v>171</v>
      </c>
      <c r="AA6" s="44"/>
      <c r="AB6" s="57"/>
      <c r="AC6" s="57"/>
      <c r="AD6" s="57"/>
      <c r="AE6" s="57"/>
      <c r="AF6" s="35"/>
      <c r="AG6" s="57"/>
      <c r="AH6" s="57"/>
      <c r="AI6" s="43"/>
      <c r="AJ6" s="57"/>
      <c r="AK6" s="57"/>
      <c r="AL6" s="57"/>
      <c r="AM6" s="57"/>
      <c r="AN6" s="86" t="s">
        <v>178</v>
      </c>
      <c r="AO6" s="107">
        <v>59.68</v>
      </c>
      <c r="AP6" s="42">
        <f>AO6/0.444</f>
        <v>134.41441441441441</v>
      </c>
      <c r="AQ6" s="119" t="s">
        <v>205</v>
      </c>
      <c r="AR6" s="120">
        <v>10038568740295</v>
      </c>
      <c r="AS6" s="72"/>
      <c r="AT6" s="72"/>
      <c r="AU6" s="72"/>
      <c r="AV6" s="115">
        <v>6.3</v>
      </c>
      <c r="AW6" s="115">
        <v>7.36</v>
      </c>
      <c r="AX6" s="97"/>
      <c r="AY6" s="214" t="s">
        <v>84</v>
      </c>
      <c r="AZ6" s="214"/>
      <c r="BA6" s="214"/>
      <c r="BB6" s="214"/>
      <c r="BC6" s="214"/>
      <c r="BD6" s="111">
        <f>14.75+(0.153*2)</f>
        <v>15.055999999999999</v>
      </c>
      <c r="BE6" s="111">
        <f>9.75+(0.153*2)</f>
        <v>10.055999999999999</v>
      </c>
      <c r="BF6" s="111">
        <f>14.13+(0.153*4)</f>
        <v>14.742000000000001</v>
      </c>
      <c r="BG6" s="115">
        <f t="shared" ref="BG6:BG13" si="0">(BF6*BE6*BD6)/1728</f>
        <v>1.2916580039999999</v>
      </c>
      <c r="BH6" s="74">
        <f>(2.5*6)+0.25</f>
        <v>15.25</v>
      </c>
      <c r="BI6" s="60" t="s">
        <v>68</v>
      </c>
      <c r="BJ6" s="49">
        <v>6</v>
      </c>
      <c r="BK6" s="49">
        <v>12</v>
      </c>
      <c r="BL6" s="49">
        <v>3</v>
      </c>
      <c r="BM6" s="49">
        <f t="shared" ref="BM6:BM13" si="1">BJ6*BK6*BL6</f>
        <v>216</v>
      </c>
      <c r="BN6" s="49">
        <f t="shared" ref="BN6:BN12" si="2">(BH6*BK6*BL6)+50</f>
        <v>599</v>
      </c>
      <c r="BO6" s="49" t="s">
        <v>62</v>
      </c>
      <c r="BP6" s="49" t="s">
        <v>67</v>
      </c>
      <c r="BQ6" s="71"/>
      <c r="BR6" s="71"/>
      <c r="BS6" s="71"/>
    </row>
    <row r="7" spans="1:71" s="1" customFormat="1" ht="31.5" x14ac:dyDescent="0.25">
      <c r="A7" s="103">
        <f>A6+0</f>
        <v>42012</v>
      </c>
      <c r="B7" s="59" t="s">
        <v>148</v>
      </c>
      <c r="C7" s="73" t="s">
        <v>73</v>
      </c>
      <c r="D7" s="59" t="s">
        <v>156</v>
      </c>
      <c r="E7" s="116" t="s">
        <v>188</v>
      </c>
      <c r="F7" s="35" t="s">
        <v>66</v>
      </c>
      <c r="G7" s="78" t="s">
        <v>187</v>
      </c>
      <c r="H7" s="35"/>
      <c r="I7" s="35"/>
      <c r="J7" s="44"/>
      <c r="K7" s="45"/>
      <c r="L7" s="45"/>
      <c r="M7" s="45"/>
      <c r="N7" s="69"/>
      <c r="O7" s="69"/>
      <c r="P7" s="69"/>
      <c r="Q7" s="69"/>
      <c r="R7" s="69"/>
      <c r="S7" s="69"/>
      <c r="T7" s="89" t="s">
        <v>158</v>
      </c>
      <c r="U7" s="68"/>
      <c r="V7" s="44"/>
      <c r="W7" s="68"/>
      <c r="X7" s="89" t="s">
        <v>165</v>
      </c>
      <c r="Y7" s="68"/>
      <c r="Z7" s="89" t="s">
        <v>172</v>
      </c>
      <c r="AA7" s="89" t="s">
        <v>176</v>
      </c>
      <c r="AB7" s="57"/>
      <c r="AC7" s="57"/>
      <c r="AD7" s="57"/>
      <c r="AE7" s="57"/>
      <c r="AF7" s="35"/>
      <c r="AG7" s="57"/>
      <c r="AH7" s="57"/>
      <c r="AI7" s="43"/>
      <c r="AJ7" s="57"/>
      <c r="AK7" s="57"/>
      <c r="AL7" s="57"/>
      <c r="AM7" s="57"/>
      <c r="AN7" s="86" t="s">
        <v>179</v>
      </c>
      <c r="AO7" s="107">
        <v>106.8</v>
      </c>
      <c r="AP7" s="42">
        <f t="shared" ref="AP7:AP13" si="3">AO7/0.444</f>
        <v>240.54054054054052</v>
      </c>
      <c r="AQ7" s="95" t="s">
        <v>206</v>
      </c>
      <c r="AR7" s="96">
        <v>10038568736526</v>
      </c>
      <c r="AS7" s="110">
        <v>12.2</v>
      </c>
      <c r="AT7" s="110">
        <v>4.87</v>
      </c>
      <c r="AU7" s="110">
        <v>7.2</v>
      </c>
      <c r="AV7" s="97"/>
      <c r="AW7" s="97"/>
      <c r="AX7" s="97"/>
      <c r="AY7" s="214" t="s">
        <v>84</v>
      </c>
      <c r="AZ7" s="214"/>
      <c r="BA7" s="214"/>
      <c r="BB7" s="214"/>
      <c r="BC7" s="214"/>
      <c r="BD7" s="74">
        <f>13.25+(0.153*2)</f>
        <v>13.555999999999999</v>
      </c>
      <c r="BE7" s="74">
        <f>6+(0.153*2)</f>
        <v>6.306</v>
      </c>
      <c r="BF7" s="74">
        <f>7.5+(0.153*4)</f>
        <v>8.1120000000000001</v>
      </c>
      <c r="BG7" s="115">
        <f t="shared" si="0"/>
        <v>0.40130052733333332</v>
      </c>
      <c r="BH7" s="74">
        <f>2.5+0.25</f>
        <v>2.75</v>
      </c>
      <c r="BI7" s="114" t="s">
        <v>68</v>
      </c>
      <c r="BJ7" s="114">
        <v>1</v>
      </c>
      <c r="BK7" s="114">
        <v>21</v>
      </c>
      <c r="BL7" s="114">
        <v>5</v>
      </c>
      <c r="BM7" s="49">
        <f t="shared" si="1"/>
        <v>105</v>
      </c>
      <c r="BN7" s="49">
        <f t="shared" si="2"/>
        <v>338.75</v>
      </c>
      <c r="BO7" s="49" t="s">
        <v>62</v>
      </c>
      <c r="BP7" s="49" t="s">
        <v>67</v>
      </c>
      <c r="BQ7" s="71"/>
      <c r="BR7" s="71"/>
      <c r="BS7" s="71"/>
    </row>
    <row r="8" spans="1:71" s="1" customFormat="1" ht="31.5" x14ac:dyDescent="0.25">
      <c r="A8" s="103">
        <f t="shared" ref="A8:A13" si="4">A7+0</f>
        <v>42012</v>
      </c>
      <c r="B8" s="114" t="s">
        <v>149</v>
      </c>
      <c r="C8" s="73" t="s">
        <v>73</v>
      </c>
      <c r="D8" s="59" t="s">
        <v>156</v>
      </c>
      <c r="E8" s="116" t="s">
        <v>214</v>
      </c>
      <c r="F8" s="35" t="s">
        <v>190</v>
      </c>
      <c r="G8" s="78"/>
      <c r="H8" s="35"/>
      <c r="I8" s="35"/>
      <c r="J8" s="44"/>
      <c r="K8" s="45"/>
      <c r="L8" s="45"/>
      <c r="M8" s="45"/>
      <c r="N8" s="69"/>
      <c r="O8" s="69"/>
      <c r="P8" s="69"/>
      <c r="Q8" s="69"/>
      <c r="R8" s="69"/>
      <c r="S8" s="69"/>
      <c r="T8" s="89" t="s">
        <v>159</v>
      </c>
      <c r="U8" s="68"/>
      <c r="V8" s="44"/>
      <c r="W8" s="68"/>
      <c r="X8" s="118" t="s">
        <v>166</v>
      </c>
      <c r="Y8" s="68"/>
      <c r="Z8" s="118"/>
      <c r="AA8" s="44"/>
      <c r="AB8" s="57"/>
      <c r="AC8" s="57"/>
      <c r="AD8" s="57"/>
      <c r="AE8" s="57"/>
      <c r="AF8" s="35"/>
      <c r="AG8" s="57"/>
      <c r="AH8" s="57"/>
      <c r="AI8" s="43"/>
      <c r="AJ8" s="57"/>
      <c r="AK8" s="57"/>
      <c r="AL8" s="57"/>
      <c r="AM8" s="57"/>
      <c r="AN8" s="118"/>
      <c r="AO8" s="107">
        <v>114.8</v>
      </c>
      <c r="AP8" s="42">
        <f t="shared" si="3"/>
        <v>258.55855855855856</v>
      </c>
      <c r="AQ8" s="95" t="s">
        <v>207</v>
      </c>
      <c r="AR8" s="96">
        <v>10038568738445</v>
      </c>
      <c r="AS8" s="97"/>
      <c r="AT8" s="110">
        <v>12.85</v>
      </c>
      <c r="AU8" s="110">
        <v>8</v>
      </c>
      <c r="AV8" s="97"/>
      <c r="AW8" s="97"/>
      <c r="AX8" s="97"/>
      <c r="AY8" s="214" t="s">
        <v>84</v>
      </c>
      <c r="AZ8" s="214"/>
      <c r="BA8" s="214"/>
      <c r="BB8" s="214"/>
      <c r="BC8" s="214"/>
      <c r="BD8" s="113">
        <f>13.25+(0.153*2)</f>
        <v>13.555999999999999</v>
      </c>
      <c r="BE8" s="113">
        <f>13.25+(0.153*2)</f>
        <v>13.555999999999999</v>
      </c>
      <c r="BF8" s="113">
        <f>8.75+(0.153*4)</f>
        <v>9.3620000000000001</v>
      </c>
      <c r="BG8" s="115">
        <f t="shared" si="0"/>
        <v>0.99560717779629615</v>
      </c>
      <c r="BH8" s="74">
        <f>2.8+0.25</f>
        <v>3.05</v>
      </c>
      <c r="BI8" s="114" t="s">
        <v>68</v>
      </c>
      <c r="BJ8" s="114">
        <v>1</v>
      </c>
      <c r="BK8" s="114">
        <v>9</v>
      </c>
      <c r="BL8" s="114">
        <v>5</v>
      </c>
      <c r="BM8" s="49">
        <f t="shared" si="1"/>
        <v>45</v>
      </c>
      <c r="BN8" s="49">
        <f t="shared" si="2"/>
        <v>187.25</v>
      </c>
      <c r="BO8" s="114" t="s">
        <v>62</v>
      </c>
      <c r="BP8" s="49" t="s">
        <v>67</v>
      </c>
      <c r="BQ8" s="71"/>
      <c r="BR8" s="71"/>
      <c r="BS8" s="71"/>
    </row>
    <row r="9" spans="1:71" s="1" customFormat="1" ht="31.5" x14ac:dyDescent="0.25">
      <c r="A9" s="103">
        <f t="shared" si="4"/>
        <v>42012</v>
      </c>
      <c r="B9" s="114" t="s">
        <v>150</v>
      </c>
      <c r="C9" s="73" t="s">
        <v>73</v>
      </c>
      <c r="D9" s="59" t="s">
        <v>156</v>
      </c>
      <c r="E9" s="116" t="s">
        <v>192</v>
      </c>
      <c r="F9" s="35" t="s">
        <v>66</v>
      </c>
      <c r="G9" s="35" t="s">
        <v>191</v>
      </c>
      <c r="H9" s="35"/>
      <c r="I9" s="35"/>
      <c r="J9" s="44"/>
      <c r="K9" s="45"/>
      <c r="L9" s="45"/>
      <c r="M9" s="45"/>
      <c r="N9" s="69"/>
      <c r="O9" s="69"/>
      <c r="P9" s="69"/>
      <c r="Q9" s="69"/>
      <c r="R9" s="69"/>
      <c r="S9" s="69"/>
      <c r="T9" s="89" t="s">
        <v>160</v>
      </c>
      <c r="U9" s="68"/>
      <c r="V9" s="44"/>
      <c r="W9" s="68"/>
      <c r="X9" s="89" t="s">
        <v>167</v>
      </c>
      <c r="Y9" s="68"/>
      <c r="Z9" s="89" t="s">
        <v>173</v>
      </c>
      <c r="AA9" s="44"/>
      <c r="AB9" s="57"/>
      <c r="AC9" s="57"/>
      <c r="AD9" s="57"/>
      <c r="AE9" s="57"/>
      <c r="AF9" s="35"/>
      <c r="AG9" s="57"/>
      <c r="AH9" s="57"/>
      <c r="AI9" s="43"/>
      <c r="AJ9" s="57"/>
      <c r="AK9" s="57"/>
      <c r="AL9" s="57"/>
      <c r="AM9" s="57"/>
      <c r="AN9" s="86" t="s">
        <v>180</v>
      </c>
      <c r="AO9" s="107">
        <v>118.22</v>
      </c>
      <c r="AP9" s="42">
        <f t="shared" si="3"/>
        <v>266.26126126126127</v>
      </c>
      <c r="AQ9" s="95" t="s">
        <v>208</v>
      </c>
      <c r="AR9" s="96">
        <v>10038568738414</v>
      </c>
      <c r="AS9" s="110">
        <v>12.87</v>
      </c>
      <c r="AT9" s="110">
        <v>4.87</v>
      </c>
      <c r="AU9" s="110">
        <v>11.14</v>
      </c>
      <c r="AV9" s="97"/>
      <c r="AW9" s="97"/>
      <c r="AX9" s="97"/>
      <c r="AY9" s="214" t="s">
        <v>84</v>
      </c>
      <c r="AZ9" s="214"/>
      <c r="BA9" s="214"/>
      <c r="BB9" s="214"/>
      <c r="BC9" s="214"/>
      <c r="BD9" s="113">
        <f>13.25+(0.153*2)</f>
        <v>13.555999999999999</v>
      </c>
      <c r="BE9" s="113">
        <f>6+(0.153*2)</f>
        <v>6.306</v>
      </c>
      <c r="BF9" s="113">
        <f>11.25+(0.153*4)</f>
        <v>11.862</v>
      </c>
      <c r="BG9" s="115">
        <f t="shared" si="0"/>
        <v>0.58681297524999998</v>
      </c>
      <c r="BH9" s="74">
        <f>2.5+0.25</f>
        <v>2.75</v>
      </c>
      <c r="BI9" s="114" t="s">
        <v>68</v>
      </c>
      <c r="BJ9" s="114">
        <v>1</v>
      </c>
      <c r="BK9" s="114">
        <v>18</v>
      </c>
      <c r="BL9" s="114">
        <v>3</v>
      </c>
      <c r="BM9" s="49">
        <f t="shared" si="1"/>
        <v>54</v>
      </c>
      <c r="BN9" s="49">
        <f t="shared" si="2"/>
        <v>198.5</v>
      </c>
      <c r="BO9" s="114" t="s">
        <v>62</v>
      </c>
      <c r="BP9" s="49" t="s">
        <v>67</v>
      </c>
      <c r="BQ9" s="71"/>
      <c r="BR9" s="71"/>
      <c r="BS9" s="71"/>
    </row>
    <row r="10" spans="1:71" s="1" customFormat="1" ht="31.5" x14ac:dyDescent="0.25">
      <c r="A10" s="103">
        <f t="shared" si="4"/>
        <v>42012</v>
      </c>
      <c r="B10" s="114" t="s">
        <v>151</v>
      </c>
      <c r="C10" s="73" t="s">
        <v>73</v>
      </c>
      <c r="D10" s="59" t="s">
        <v>156</v>
      </c>
      <c r="E10" s="116" t="s">
        <v>194</v>
      </c>
      <c r="F10" s="35" t="s">
        <v>66</v>
      </c>
      <c r="G10" s="78" t="s">
        <v>193</v>
      </c>
      <c r="H10" s="35"/>
      <c r="I10" s="35"/>
      <c r="J10" s="44"/>
      <c r="K10" s="45"/>
      <c r="L10" s="45"/>
      <c r="M10" s="45"/>
      <c r="N10" s="69"/>
      <c r="O10" s="69"/>
      <c r="P10" s="69"/>
      <c r="Q10" s="69"/>
      <c r="R10" s="69"/>
      <c r="S10" s="69"/>
      <c r="T10" s="89" t="s">
        <v>161</v>
      </c>
      <c r="U10" s="68"/>
      <c r="V10" s="44"/>
      <c r="W10" s="68"/>
      <c r="X10" s="89" t="s">
        <v>168</v>
      </c>
      <c r="Y10" s="68"/>
      <c r="Z10" s="118"/>
      <c r="AA10" s="44"/>
      <c r="AB10" s="57"/>
      <c r="AC10" s="57"/>
      <c r="AD10" s="57"/>
      <c r="AE10" s="57"/>
      <c r="AF10" s="35"/>
      <c r="AG10" s="57"/>
      <c r="AH10" s="57"/>
      <c r="AI10" s="43"/>
      <c r="AJ10" s="57"/>
      <c r="AK10" s="57"/>
      <c r="AL10" s="57"/>
      <c r="AM10" s="57"/>
      <c r="AN10" s="86" t="s">
        <v>181</v>
      </c>
      <c r="AO10" s="107">
        <v>59.46</v>
      </c>
      <c r="AP10" s="42">
        <f t="shared" si="3"/>
        <v>133.91891891891891</v>
      </c>
      <c r="AQ10" s="95" t="s">
        <v>209</v>
      </c>
      <c r="AR10" s="96">
        <v>10038568738551</v>
      </c>
      <c r="AS10" s="97"/>
      <c r="AT10" s="97"/>
      <c r="AU10" s="97"/>
      <c r="AV10" s="110">
        <v>5.94</v>
      </c>
      <c r="AW10" s="110">
        <v>13.03</v>
      </c>
      <c r="AX10" s="97"/>
      <c r="AY10" s="214" t="s">
        <v>84</v>
      </c>
      <c r="AZ10" s="214"/>
      <c r="BA10" s="214"/>
      <c r="BB10" s="214"/>
      <c r="BC10" s="214"/>
      <c r="BD10" s="113">
        <f>7+(0.153*2)</f>
        <v>7.306</v>
      </c>
      <c r="BE10" s="113">
        <f>7+(0.153*2)</f>
        <v>7.306</v>
      </c>
      <c r="BF10" s="113">
        <f>14.5+(0.153*4)</f>
        <v>15.112</v>
      </c>
      <c r="BG10" s="115">
        <f t="shared" si="0"/>
        <v>0.46680719631481477</v>
      </c>
      <c r="BH10" s="74">
        <f>1.3+0.25</f>
        <v>1.55</v>
      </c>
      <c r="BI10" s="114" t="s">
        <v>68</v>
      </c>
      <c r="BJ10" s="114">
        <v>1</v>
      </c>
      <c r="BK10" s="114">
        <v>30</v>
      </c>
      <c r="BL10" s="114">
        <v>3</v>
      </c>
      <c r="BM10" s="49">
        <f t="shared" si="1"/>
        <v>90</v>
      </c>
      <c r="BN10" s="49">
        <f t="shared" si="2"/>
        <v>189.5</v>
      </c>
      <c r="BO10" s="114" t="s">
        <v>62</v>
      </c>
      <c r="BP10" s="49" t="s">
        <v>67</v>
      </c>
      <c r="BQ10" s="71"/>
      <c r="BR10" s="71"/>
      <c r="BS10" s="71"/>
    </row>
    <row r="11" spans="1:71" s="1" customFormat="1" ht="15.75" x14ac:dyDescent="0.25">
      <c r="A11" s="103">
        <f t="shared" si="4"/>
        <v>42012</v>
      </c>
      <c r="B11" s="114" t="s">
        <v>152</v>
      </c>
      <c r="C11" s="73" t="s">
        <v>73</v>
      </c>
      <c r="D11" s="59" t="s">
        <v>156</v>
      </c>
      <c r="E11" s="116" t="s">
        <v>198</v>
      </c>
      <c r="F11" s="35" t="s">
        <v>72</v>
      </c>
      <c r="G11" s="78" t="s">
        <v>195</v>
      </c>
      <c r="H11" s="35" t="s">
        <v>51</v>
      </c>
      <c r="I11" s="35" t="s">
        <v>197</v>
      </c>
      <c r="J11" s="44"/>
      <c r="K11" s="45"/>
      <c r="L11" s="45"/>
      <c r="M11" s="45"/>
      <c r="N11" s="69"/>
      <c r="O11" s="69"/>
      <c r="P11" s="69"/>
      <c r="Q11" s="69"/>
      <c r="R11" s="69"/>
      <c r="S11" s="69"/>
      <c r="T11" s="89" t="s">
        <v>162</v>
      </c>
      <c r="U11" s="68"/>
      <c r="V11" s="44"/>
      <c r="W11" s="68"/>
      <c r="X11" s="89" t="s">
        <v>169</v>
      </c>
      <c r="Y11" s="68"/>
      <c r="Z11" s="89" t="s">
        <v>174</v>
      </c>
      <c r="AA11" s="44" t="s">
        <v>196</v>
      </c>
      <c r="AB11" s="57"/>
      <c r="AC11" s="57"/>
      <c r="AD11" s="57"/>
      <c r="AE11" s="57"/>
      <c r="AF11" s="35"/>
      <c r="AG11" s="57"/>
      <c r="AH11" s="57"/>
      <c r="AI11" s="43"/>
      <c r="AJ11" s="57"/>
      <c r="AK11" s="57"/>
      <c r="AL11" s="57"/>
      <c r="AM11" s="57"/>
      <c r="AN11" s="86" t="s">
        <v>182</v>
      </c>
      <c r="AO11" s="107">
        <v>131.29</v>
      </c>
      <c r="AP11" s="42">
        <f t="shared" si="3"/>
        <v>295.69819819819816</v>
      </c>
      <c r="AQ11" s="95" t="s">
        <v>210</v>
      </c>
      <c r="AR11" s="96">
        <v>10038568738568</v>
      </c>
      <c r="AS11" s="110">
        <v>13.05</v>
      </c>
      <c r="AT11" s="110">
        <v>8.75</v>
      </c>
      <c r="AU11" s="110" t="s">
        <v>211</v>
      </c>
      <c r="AV11" s="97"/>
      <c r="AW11" s="97"/>
      <c r="AX11" s="97"/>
      <c r="AY11" s="214" t="s">
        <v>84</v>
      </c>
      <c r="AZ11" s="214"/>
      <c r="BA11" s="214"/>
      <c r="BB11" s="214"/>
      <c r="BC11" s="214"/>
      <c r="BD11" s="113">
        <f>12.75+(0.153*2)</f>
        <v>13.055999999999999</v>
      </c>
      <c r="BE11" s="113">
        <f>8.5+(0.153*2)</f>
        <v>8.8059999999999992</v>
      </c>
      <c r="BF11" s="113">
        <f>9.5+(0.153*4)</f>
        <v>10.112</v>
      </c>
      <c r="BG11" s="115">
        <f t="shared" si="0"/>
        <v>0.67279405511111101</v>
      </c>
      <c r="BH11" s="74">
        <f>1.3+0.25</f>
        <v>1.55</v>
      </c>
      <c r="BI11" s="114" t="s">
        <v>68</v>
      </c>
      <c r="BJ11" s="114">
        <v>1</v>
      </c>
      <c r="BK11" s="114">
        <v>15</v>
      </c>
      <c r="BL11" s="114">
        <v>4</v>
      </c>
      <c r="BM11" s="49">
        <f t="shared" si="1"/>
        <v>60</v>
      </c>
      <c r="BN11" s="49">
        <f t="shared" si="2"/>
        <v>143</v>
      </c>
      <c r="BO11" s="114" t="s">
        <v>62</v>
      </c>
      <c r="BP11" s="49" t="s">
        <v>67</v>
      </c>
      <c r="BQ11" s="71"/>
      <c r="BR11" s="71"/>
      <c r="BS11" s="71"/>
    </row>
    <row r="12" spans="1:71" s="1" customFormat="1" ht="31.5" x14ac:dyDescent="0.25">
      <c r="A12" s="103">
        <f t="shared" si="4"/>
        <v>42012</v>
      </c>
      <c r="B12" s="114" t="s">
        <v>153</v>
      </c>
      <c r="C12" s="73" t="s">
        <v>73</v>
      </c>
      <c r="D12" s="59" t="s">
        <v>156</v>
      </c>
      <c r="E12" s="116" t="s">
        <v>200</v>
      </c>
      <c r="F12" s="35" t="s">
        <v>66</v>
      </c>
      <c r="G12" s="78" t="s">
        <v>199</v>
      </c>
      <c r="H12" s="35"/>
      <c r="I12" s="35"/>
      <c r="J12" s="44"/>
      <c r="K12" s="45"/>
      <c r="L12" s="45"/>
      <c r="M12" s="45"/>
      <c r="N12" s="69"/>
      <c r="O12" s="69"/>
      <c r="P12" s="69"/>
      <c r="Q12" s="69"/>
      <c r="R12" s="69"/>
      <c r="S12" s="69"/>
      <c r="T12" s="89" t="s">
        <v>163</v>
      </c>
      <c r="U12" s="68"/>
      <c r="V12" s="44"/>
      <c r="W12" s="68"/>
      <c r="X12" s="89" t="s">
        <v>170</v>
      </c>
      <c r="Y12" s="68"/>
      <c r="Z12" s="86"/>
      <c r="AA12" s="43"/>
      <c r="AB12" s="57"/>
      <c r="AC12" s="57"/>
      <c r="AD12" s="57"/>
      <c r="AE12" s="57"/>
      <c r="AF12" s="35"/>
      <c r="AG12" s="57"/>
      <c r="AH12" s="57"/>
      <c r="AI12" s="43"/>
      <c r="AJ12" s="57"/>
      <c r="AK12" s="57"/>
      <c r="AL12" s="57"/>
      <c r="AM12" s="57"/>
      <c r="AN12" s="86" t="s">
        <v>183</v>
      </c>
      <c r="AO12" s="107">
        <v>128.28</v>
      </c>
      <c r="AP12" s="42">
        <f t="shared" si="3"/>
        <v>288.91891891891891</v>
      </c>
      <c r="AQ12" s="95" t="s">
        <v>212</v>
      </c>
      <c r="AR12" s="96">
        <v>10038568739794</v>
      </c>
      <c r="AS12" s="110">
        <v>10.33</v>
      </c>
      <c r="AT12" s="110">
        <v>10.33</v>
      </c>
      <c r="AU12" s="110">
        <v>9.16</v>
      </c>
      <c r="AV12" s="97"/>
      <c r="AW12" s="97"/>
      <c r="AX12" s="97"/>
      <c r="AY12" s="214" t="s">
        <v>84</v>
      </c>
      <c r="AZ12" s="214"/>
      <c r="BA12" s="214"/>
      <c r="BB12" s="214"/>
      <c r="BC12" s="214"/>
      <c r="BD12" s="113">
        <f>6.5+(0.153*2)</f>
        <v>6.806</v>
      </c>
      <c r="BE12" s="113">
        <f>6.5+(0.153*2)</f>
        <v>6.806</v>
      </c>
      <c r="BF12" s="113">
        <f>5.5+(0.153*4)</f>
        <v>6.1120000000000001</v>
      </c>
      <c r="BG12" s="115">
        <f t="shared" si="0"/>
        <v>0.16384134214814813</v>
      </c>
      <c r="BH12" s="74">
        <f>3+0.25</f>
        <v>3.25</v>
      </c>
      <c r="BI12" s="114" t="s">
        <v>68</v>
      </c>
      <c r="BJ12" s="114">
        <v>1</v>
      </c>
      <c r="BK12" s="114">
        <v>12</v>
      </c>
      <c r="BL12" s="114">
        <v>4</v>
      </c>
      <c r="BM12" s="49">
        <f t="shared" si="1"/>
        <v>48</v>
      </c>
      <c r="BN12" s="49">
        <f t="shared" si="2"/>
        <v>206</v>
      </c>
      <c r="BO12" s="114" t="s">
        <v>62</v>
      </c>
      <c r="BP12" s="49" t="s">
        <v>67</v>
      </c>
      <c r="BQ12" s="71"/>
      <c r="BR12" s="71"/>
      <c r="BS12" s="71"/>
    </row>
    <row r="13" spans="1:71" s="1" customFormat="1" x14ac:dyDescent="0.25">
      <c r="A13" s="103">
        <f t="shared" si="4"/>
        <v>42012</v>
      </c>
      <c r="B13" s="114" t="s">
        <v>154</v>
      </c>
      <c r="C13" s="73" t="s">
        <v>73</v>
      </c>
      <c r="D13" s="59" t="s">
        <v>156</v>
      </c>
      <c r="E13" s="51" t="s">
        <v>204</v>
      </c>
      <c r="F13" s="35" t="s">
        <v>201</v>
      </c>
      <c r="G13" s="78" t="s">
        <v>202</v>
      </c>
      <c r="H13" s="35" t="s">
        <v>70</v>
      </c>
      <c r="I13" s="35" t="s">
        <v>203</v>
      </c>
      <c r="J13" s="44"/>
      <c r="K13" s="45"/>
      <c r="L13" s="45"/>
      <c r="M13" s="45"/>
      <c r="N13" s="69"/>
      <c r="O13" s="69"/>
      <c r="P13" s="69"/>
      <c r="Q13" s="69"/>
      <c r="R13" s="69"/>
      <c r="S13" s="69"/>
      <c r="T13" s="89" t="s">
        <v>164</v>
      </c>
      <c r="U13" s="68"/>
      <c r="V13" s="44"/>
      <c r="W13" s="68"/>
      <c r="X13" s="86"/>
      <c r="Y13" s="68"/>
      <c r="Z13" s="89" t="s">
        <v>175</v>
      </c>
      <c r="AA13" s="118" t="s">
        <v>177</v>
      </c>
      <c r="AB13" s="57"/>
      <c r="AC13" s="57"/>
      <c r="AD13" s="57"/>
      <c r="AE13" s="57"/>
      <c r="AF13" s="35"/>
      <c r="AG13" s="57"/>
      <c r="AH13" s="57"/>
      <c r="AI13" s="43"/>
      <c r="AJ13" s="57"/>
      <c r="AK13" s="57"/>
      <c r="AL13" s="57"/>
      <c r="AM13" s="57"/>
      <c r="AN13" s="118">
        <v>24469</v>
      </c>
      <c r="AO13" s="107">
        <v>45.79</v>
      </c>
      <c r="AP13" s="42">
        <f t="shared" si="3"/>
        <v>103.13063063063063</v>
      </c>
      <c r="AQ13" s="95" t="s">
        <v>213</v>
      </c>
      <c r="AR13" s="96">
        <v>10038568742138</v>
      </c>
      <c r="AS13" s="110">
        <v>8.86</v>
      </c>
      <c r="AT13" s="110">
        <v>6.5350000000000001</v>
      </c>
      <c r="AU13" s="110">
        <v>1.988</v>
      </c>
      <c r="AV13" s="97"/>
      <c r="AW13" s="97"/>
      <c r="AX13" s="97"/>
      <c r="AY13" s="74">
        <f>8.86</f>
        <v>8.86</v>
      </c>
      <c r="AZ13" s="74">
        <f>6.54</f>
        <v>6.54</v>
      </c>
      <c r="BA13" s="74">
        <f>1.99</f>
        <v>1.99</v>
      </c>
      <c r="BB13" s="115">
        <f t="shared" ref="BB13" si="5">(BA13*AZ13*AY13)/1728</f>
        <v>6.6729951388888889E-2</v>
      </c>
      <c r="BC13" s="74">
        <f>1.2+0.1</f>
        <v>1.3</v>
      </c>
      <c r="BD13" s="74">
        <f>10+(0.153*2)</f>
        <v>10.305999999999999</v>
      </c>
      <c r="BE13" s="74">
        <f>7.5+(0.153*2)</f>
        <v>7.806</v>
      </c>
      <c r="BF13" s="74">
        <f>6.62+(0.153*4)</f>
        <v>7.2320000000000002</v>
      </c>
      <c r="BG13" s="115">
        <f t="shared" si="0"/>
        <v>0.3366924395555555</v>
      </c>
      <c r="BH13" s="74">
        <f>(BC13*3)+0.25</f>
        <v>4.1500000000000004</v>
      </c>
      <c r="BI13" s="52" t="s">
        <v>68</v>
      </c>
      <c r="BJ13" s="52">
        <v>3</v>
      </c>
      <c r="BK13" s="52">
        <v>22</v>
      </c>
      <c r="BL13" s="52">
        <v>6</v>
      </c>
      <c r="BM13" s="49">
        <f t="shared" si="1"/>
        <v>396</v>
      </c>
      <c r="BN13" s="49">
        <f>(BH13*BK13*BL13)+50</f>
        <v>597.80000000000007</v>
      </c>
      <c r="BO13" s="52" t="s">
        <v>69</v>
      </c>
      <c r="BP13" s="49" t="s">
        <v>67</v>
      </c>
      <c r="BQ13" s="71"/>
      <c r="BR13" s="71"/>
      <c r="BS13" s="71"/>
    </row>
    <row r="14" spans="1:71" s="1" customFormat="1" ht="15" customHeight="1" x14ac:dyDescent="0.25">
      <c r="A14" s="134"/>
      <c r="B14" s="64"/>
      <c r="C14" s="121"/>
      <c r="D14" s="121"/>
      <c r="E14" s="135"/>
      <c r="F14" s="136"/>
      <c r="G14" s="122"/>
      <c r="H14" s="127"/>
      <c r="I14" s="127"/>
      <c r="J14" s="123"/>
      <c r="K14" s="124"/>
      <c r="L14" s="125"/>
      <c r="M14" s="125"/>
      <c r="N14" s="125"/>
      <c r="O14" s="125"/>
      <c r="P14" s="125"/>
      <c r="Q14" s="125"/>
      <c r="R14" s="125"/>
      <c r="S14" s="125"/>
      <c r="T14" s="123"/>
      <c r="U14" s="126"/>
      <c r="V14" s="123"/>
      <c r="W14" s="126"/>
      <c r="X14" s="123"/>
      <c r="Y14" s="126"/>
      <c r="Z14" s="123"/>
      <c r="AA14" s="123"/>
      <c r="AB14" s="127"/>
      <c r="AC14" s="127"/>
      <c r="AD14" s="127"/>
      <c r="AE14" s="127"/>
      <c r="AF14" s="127"/>
      <c r="AG14" s="127"/>
      <c r="AH14" s="127"/>
      <c r="AJ14" s="127"/>
      <c r="AK14" s="127"/>
      <c r="AL14" s="127"/>
      <c r="AM14" s="127"/>
      <c r="AN14" s="123"/>
      <c r="AO14" s="137"/>
      <c r="AP14" s="128"/>
      <c r="AQ14" s="138"/>
      <c r="AR14" s="138"/>
      <c r="AS14" s="138"/>
      <c r="AT14" s="138"/>
      <c r="AU14" s="138"/>
      <c r="AV14" s="133"/>
      <c r="AW14" s="133"/>
      <c r="AX14" s="138"/>
      <c r="AY14" s="219"/>
      <c r="AZ14" s="219"/>
      <c r="BA14" s="219"/>
      <c r="BB14" s="219"/>
      <c r="BC14" s="219"/>
      <c r="BD14" s="132"/>
      <c r="BE14" s="132"/>
      <c r="BF14" s="132"/>
      <c r="BG14" s="129"/>
      <c r="BH14" s="105"/>
      <c r="BI14" s="130"/>
      <c r="BJ14" s="105"/>
      <c r="BK14" s="105"/>
      <c r="BL14" s="105"/>
      <c r="BM14" s="131"/>
      <c r="BN14" s="131"/>
      <c r="BO14" s="131"/>
      <c r="BP14" s="131"/>
      <c r="BQ14" s="71"/>
      <c r="BR14" s="71"/>
      <c r="BS14" s="71"/>
    </row>
    <row r="15" spans="1:71" s="21" customFormat="1" x14ac:dyDescent="0.25">
      <c r="B15" s="18"/>
      <c r="C15" s="18"/>
      <c r="D15" s="18"/>
      <c r="E15" s="18"/>
      <c r="F15" s="18"/>
      <c r="G15" s="14"/>
      <c r="H15" s="4"/>
      <c r="I15" s="4"/>
      <c r="J15" s="4"/>
      <c r="T15" s="4"/>
      <c r="Z15" s="4"/>
      <c r="AA15" s="4"/>
      <c r="AO15" s="19"/>
      <c r="AP15" s="20"/>
      <c r="AQ15" s="4"/>
      <c r="AY15" s="13"/>
      <c r="AZ15" s="13"/>
      <c r="BA15" s="13"/>
      <c r="BB15" s="4"/>
      <c r="BC15" s="13"/>
      <c r="BD15" s="13"/>
      <c r="BE15" s="13"/>
      <c r="BF15" s="13"/>
      <c r="BG15" s="4"/>
      <c r="BH15" s="13"/>
      <c r="BI15" s="4"/>
      <c r="BJ15" s="4"/>
      <c r="BO15" s="4"/>
      <c r="BP15" s="14"/>
    </row>
    <row r="16" spans="1:71" ht="7.5" customHeight="1" x14ac:dyDescent="0.25">
      <c r="B16" s="28"/>
      <c r="C16" s="28"/>
      <c r="D16" s="28"/>
      <c r="E16" s="28"/>
      <c r="F16" s="28"/>
      <c r="G16" s="28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9"/>
      <c r="U16" s="30"/>
      <c r="V16" s="30"/>
      <c r="W16" s="30"/>
      <c r="X16" s="30"/>
      <c r="Y16" s="30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2"/>
      <c r="AQ16" s="29"/>
      <c r="AR16" s="30"/>
      <c r="AS16" s="30"/>
      <c r="AT16" s="30"/>
      <c r="AU16" s="30"/>
      <c r="AV16" s="30"/>
      <c r="AW16" s="30"/>
      <c r="AX16" s="30"/>
      <c r="AY16" s="33"/>
      <c r="AZ16" s="33"/>
      <c r="BA16" s="33"/>
      <c r="BB16" s="29"/>
      <c r="BC16" s="33"/>
      <c r="BD16" s="33"/>
      <c r="BE16" s="33"/>
      <c r="BF16" s="33"/>
      <c r="BG16" s="29"/>
      <c r="BH16" s="33"/>
      <c r="BI16" s="29"/>
      <c r="BJ16" s="29"/>
      <c r="BK16" s="30"/>
      <c r="BL16" s="30"/>
      <c r="BM16" s="30"/>
      <c r="BN16" s="30"/>
      <c r="BO16" s="29"/>
      <c r="BP16" s="34"/>
      <c r="BQ16" s="30"/>
      <c r="BR16" s="21"/>
      <c r="BS16" s="21"/>
    </row>
    <row r="17" spans="1:71" ht="7.5" customHeight="1" x14ac:dyDescent="0.25">
      <c r="B17" s="18"/>
      <c r="C17" s="18"/>
      <c r="D17" s="18"/>
      <c r="E17" s="18"/>
      <c r="F17" s="18"/>
      <c r="G17" s="1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U17" s="21"/>
      <c r="V17" s="21"/>
      <c r="W17" s="21"/>
      <c r="X17" s="21"/>
      <c r="Y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19"/>
      <c r="AP17" s="20"/>
      <c r="AR17" s="21"/>
      <c r="AS17" s="21"/>
      <c r="AT17" s="21"/>
      <c r="AU17" s="21"/>
      <c r="AV17" s="21"/>
      <c r="AW17" s="21"/>
      <c r="AX17" s="21"/>
      <c r="AY17" s="13"/>
      <c r="AZ17" s="13"/>
      <c r="BA17" s="13"/>
      <c r="BC17" s="13"/>
      <c r="BD17" s="13"/>
      <c r="BE17" s="13"/>
      <c r="BF17" s="13"/>
      <c r="BH17" s="13"/>
      <c r="BK17" s="21"/>
      <c r="BL17" s="21"/>
      <c r="BM17" s="21"/>
      <c r="BN17" s="21"/>
      <c r="BP17" s="14"/>
      <c r="BQ17" s="21"/>
      <c r="BR17" s="21"/>
      <c r="BS17" s="21"/>
    </row>
    <row r="18" spans="1:71" ht="23.25" x14ac:dyDescent="0.25">
      <c r="B18" s="18"/>
      <c r="C18" s="18"/>
      <c r="D18" s="18"/>
      <c r="E18" s="27" t="s">
        <v>215</v>
      </c>
      <c r="G18" s="18"/>
      <c r="U18" s="21"/>
      <c r="V18" s="21"/>
      <c r="W18" s="21"/>
      <c r="Y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9"/>
      <c r="AP18" s="20"/>
      <c r="AR18" s="21"/>
      <c r="AS18" s="21"/>
      <c r="AT18" s="21"/>
      <c r="AU18" s="21"/>
      <c r="AV18" s="21"/>
      <c r="AW18" s="21"/>
      <c r="AX18" s="21"/>
      <c r="AY18" s="13"/>
      <c r="AZ18" s="13"/>
      <c r="BA18" s="13"/>
      <c r="BC18" s="13"/>
      <c r="BD18" s="13"/>
      <c r="BE18" s="13"/>
      <c r="BF18" s="13"/>
      <c r="BH18" s="13"/>
      <c r="BK18" s="21"/>
      <c r="BL18" s="21"/>
      <c r="BM18" s="21"/>
      <c r="BN18" s="21"/>
      <c r="BP18" s="14"/>
      <c r="BQ18" s="21"/>
      <c r="BR18" s="21"/>
      <c r="BS18" s="21"/>
    </row>
    <row r="19" spans="1:71" s="21" customFormat="1" x14ac:dyDescent="0.25">
      <c r="B19" s="18"/>
      <c r="C19" s="18"/>
      <c r="D19" s="18"/>
      <c r="E19" s="1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9"/>
      <c r="AP19" s="20"/>
      <c r="AQ19" s="4"/>
      <c r="AR19" s="4"/>
      <c r="AS19" s="4"/>
      <c r="AT19" s="4"/>
      <c r="AU19" s="4"/>
      <c r="AV19" s="4"/>
      <c r="AW19" s="4"/>
      <c r="AX19" s="4"/>
      <c r="AY19" s="13"/>
      <c r="AZ19" s="13"/>
      <c r="BA19" s="13"/>
      <c r="BB19" s="4"/>
      <c r="BC19" s="13"/>
      <c r="BD19" s="13"/>
      <c r="BE19" s="13"/>
      <c r="BF19" s="13"/>
      <c r="BG19" s="4"/>
      <c r="BH19" s="13"/>
      <c r="BI19" s="4"/>
      <c r="BJ19" s="4"/>
      <c r="BK19" s="4"/>
      <c r="BL19" s="4"/>
      <c r="BO19" s="4"/>
      <c r="BP19" s="14"/>
      <c r="BQ19" s="4"/>
      <c r="BR19" s="4"/>
      <c r="BS19" s="4"/>
    </row>
    <row r="20" spans="1:71" x14ac:dyDescent="0.25">
      <c r="B20" s="18"/>
      <c r="C20" s="18"/>
      <c r="D20" s="18"/>
      <c r="E20" s="5" t="s">
        <v>75</v>
      </c>
      <c r="F20" s="7" t="s">
        <v>87</v>
      </c>
      <c r="G20" s="7" t="s">
        <v>76</v>
      </c>
      <c r="AO20" s="19"/>
      <c r="AP20" s="20"/>
      <c r="AY20" s="13"/>
      <c r="AZ20" s="13"/>
      <c r="BA20" s="13"/>
      <c r="BC20" s="13"/>
      <c r="BD20" s="13"/>
      <c r="BE20" s="13"/>
      <c r="BF20" s="13"/>
      <c r="BH20" s="13"/>
      <c r="BM20" s="21"/>
      <c r="BN20" s="21"/>
      <c r="BP20" s="14"/>
    </row>
    <row r="21" spans="1:71" x14ac:dyDescent="0.25">
      <c r="A21" s="92"/>
      <c r="B21" s="90"/>
      <c r="C21" s="23"/>
      <c r="D21" s="51"/>
      <c r="E21" s="91"/>
      <c r="F21" s="58"/>
      <c r="G21" s="58"/>
      <c r="AO21" s="19"/>
      <c r="AP21" s="20"/>
      <c r="AY21" s="13"/>
      <c r="AZ21" s="13"/>
      <c r="BA21" s="13"/>
      <c r="BC21" s="13"/>
      <c r="BD21" s="13"/>
      <c r="BE21" s="13"/>
      <c r="BF21" s="13"/>
      <c r="BH21" s="13"/>
      <c r="BM21" s="21"/>
      <c r="BN21" s="21"/>
      <c r="BP21" s="14"/>
    </row>
    <row r="22" spans="1:71" x14ac:dyDescent="0.25">
      <c r="B22" s="23"/>
      <c r="C22" s="23"/>
      <c r="D22" s="23"/>
      <c r="E22" s="91"/>
      <c r="F22" s="58"/>
      <c r="G22" s="58"/>
      <c r="AO22" s="19"/>
      <c r="AP22" s="20"/>
      <c r="AY22" s="13"/>
      <c r="AZ22" s="13"/>
      <c r="BA22" s="13"/>
      <c r="BC22" s="13"/>
      <c r="BD22" s="13"/>
      <c r="BE22" s="13"/>
      <c r="BF22" s="13"/>
      <c r="BH22" s="13"/>
      <c r="BM22" s="21"/>
      <c r="BN22" s="21"/>
      <c r="BP22" s="14"/>
    </row>
    <row r="23" spans="1:71" x14ac:dyDescent="0.25">
      <c r="B23" s="23"/>
      <c r="C23" s="23"/>
      <c r="D23" s="23"/>
      <c r="E23" s="62"/>
      <c r="F23" s="58"/>
      <c r="G23" s="5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U23" s="21"/>
      <c r="V23" s="21"/>
      <c r="W23" s="21"/>
      <c r="X23" s="21"/>
      <c r="Y23" s="21"/>
      <c r="AD23" s="21"/>
      <c r="AE23" s="21"/>
      <c r="AF23" s="21"/>
      <c r="AG23" s="21"/>
      <c r="AH23" s="21"/>
      <c r="AI23" s="21"/>
      <c r="AL23" s="21"/>
      <c r="AM23" s="21"/>
      <c r="AN23" s="21"/>
      <c r="AO23" s="19"/>
      <c r="AP23" s="20"/>
      <c r="AR23" s="21"/>
      <c r="AS23" s="21"/>
      <c r="AT23" s="21"/>
      <c r="AU23" s="21"/>
      <c r="AV23" s="21"/>
      <c r="AW23" s="21"/>
      <c r="AX23" s="21"/>
      <c r="AY23" s="13"/>
      <c r="AZ23" s="13"/>
      <c r="BA23" s="13"/>
      <c r="BC23" s="13"/>
      <c r="BD23" s="13"/>
      <c r="BE23" s="13"/>
      <c r="BF23" s="13"/>
      <c r="BH23" s="13"/>
      <c r="BK23" s="21"/>
      <c r="BL23" s="21"/>
      <c r="BM23" s="21"/>
      <c r="BN23" s="21"/>
      <c r="BP23" s="14"/>
      <c r="BQ23" s="21"/>
      <c r="BR23" s="21"/>
      <c r="BS23" s="21"/>
    </row>
    <row r="24" spans="1:71" x14ac:dyDescent="0.25">
      <c r="B24" s="18"/>
      <c r="C24" s="18"/>
      <c r="D24" s="18"/>
      <c r="E24" s="18"/>
      <c r="F24" s="18"/>
      <c r="G24" s="18"/>
      <c r="AP24" s="20"/>
      <c r="AQ24" s="21"/>
      <c r="BN24" s="21"/>
      <c r="BP24" s="14"/>
    </row>
    <row r="25" spans="1:71" ht="7.5" customHeight="1" x14ac:dyDescent="0.25">
      <c r="B25" s="28"/>
      <c r="C25" s="28"/>
      <c r="D25" s="28"/>
      <c r="E25" s="28"/>
      <c r="F25" s="28"/>
      <c r="G25" s="2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U25" s="21"/>
      <c r="V25" s="21"/>
      <c r="W25" s="21"/>
      <c r="X25" s="21"/>
      <c r="Y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9"/>
      <c r="AP25" s="20"/>
      <c r="AR25" s="21"/>
      <c r="AS25" s="21"/>
      <c r="AT25" s="21"/>
      <c r="AU25" s="21"/>
      <c r="AV25" s="21"/>
      <c r="AW25" s="21"/>
      <c r="AX25" s="21"/>
      <c r="AY25" s="13"/>
      <c r="AZ25" s="13"/>
      <c r="BA25" s="13"/>
      <c r="BC25" s="13"/>
      <c r="BD25" s="13"/>
      <c r="BE25" s="13"/>
      <c r="BF25" s="13"/>
      <c r="BH25" s="13"/>
      <c r="BK25" s="21"/>
      <c r="BL25" s="21"/>
      <c r="BM25" s="21"/>
      <c r="BN25" s="21"/>
      <c r="BP25" s="14"/>
      <c r="BQ25" s="21"/>
      <c r="BR25" s="21"/>
      <c r="BS25" s="21"/>
    </row>
    <row r="26" spans="1:71" ht="7.5" customHeight="1" x14ac:dyDescent="0.25">
      <c r="B26" s="18"/>
      <c r="C26" s="18"/>
      <c r="D26" s="18"/>
      <c r="E26" s="18"/>
      <c r="F26" s="18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U26" s="21"/>
      <c r="V26" s="21"/>
      <c r="W26" s="21"/>
      <c r="X26" s="21"/>
      <c r="Y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19"/>
      <c r="AP26" s="20"/>
      <c r="AR26" s="21"/>
      <c r="AS26" s="21"/>
      <c r="AT26" s="21"/>
      <c r="AU26" s="21"/>
      <c r="AV26" s="21"/>
      <c r="AW26" s="21"/>
      <c r="AX26" s="21"/>
      <c r="AY26" s="13"/>
      <c r="AZ26" s="13"/>
      <c r="BA26" s="13"/>
      <c r="BC26" s="13"/>
      <c r="BD26" s="13"/>
      <c r="BE26" s="13"/>
      <c r="BF26" s="13"/>
      <c r="BH26" s="13"/>
      <c r="BK26" s="21"/>
      <c r="BL26" s="21"/>
      <c r="BM26" s="21"/>
      <c r="BN26" s="21"/>
      <c r="BP26" s="14"/>
      <c r="BQ26" s="21"/>
      <c r="BR26" s="21"/>
      <c r="BS26" s="21"/>
    </row>
    <row r="27" spans="1:71" ht="23.25" x14ac:dyDescent="0.25">
      <c r="B27" s="18"/>
      <c r="C27" s="18"/>
      <c r="D27" s="18"/>
      <c r="E27" s="41" t="s">
        <v>79</v>
      </c>
      <c r="G27" s="18"/>
      <c r="AP27" s="20"/>
      <c r="AQ27" s="21"/>
      <c r="BN27" s="21"/>
      <c r="BP27" s="14"/>
    </row>
    <row r="28" spans="1:71" ht="16.5" customHeight="1" x14ac:dyDescent="0.25">
      <c r="B28" s="18"/>
      <c r="C28" s="18"/>
      <c r="D28" s="18"/>
      <c r="E28" s="18"/>
      <c r="F28" s="26"/>
      <c r="G28" s="18"/>
      <c r="AP28" s="20"/>
      <c r="AQ28" s="21"/>
      <c r="BN28" s="21"/>
      <c r="BP28" s="14"/>
    </row>
    <row r="29" spans="1:71" s="15" customFormat="1" x14ac:dyDescent="0.25">
      <c r="B29" s="4"/>
      <c r="C29" s="4"/>
      <c r="D29" s="4"/>
      <c r="E29" s="5" t="s">
        <v>77</v>
      </c>
      <c r="F29" s="39" t="s">
        <v>78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9"/>
      <c r="AP29" s="20"/>
      <c r="AQ29" s="21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21"/>
      <c r="BO29" s="4"/>
      <c r="BP29" s="4"/>
      <c r="BQ29" s="4"/>
      <c r="BR29" s="4"/>
      <c r="BS29" s="4"/>
    </row>
    <row r="30" spans="1:71" ht="36.75" customHeight="1" x14ac:dyDescent="0.25">
      <c r="B30" s="36"/>
      <c r="C30" s="24"/>
      <c r="D30" s="54"/>
      <c r="E30" s="35"/>
      <c r="F30" s="35"/>
      <c r="G30" s="102"/>
      <c r="AO30" s="19"/>
      <c r="AP30" s="20"/>
      <c r="AQ30" s="21"/>
      <c r="BN30" s="21"/>
    </row>
    <row r="31" spans="1:71" x14ac:dyDescent="0.25">
      <c r="B31" s="36"/>
      <c r="C31" s="24"/>
      <c r="D31" s="54"/>
      <c r="E31" s="35"/>
      <c r="F31" s="35"/>
      <c r="G31" s="102"/>
      <c r="U31" s="21"/>
      <c r="V31" s="21"/>
      <c r="W31" s="21"/>
      <c r="Y31" s="21"/>
      <c r="AA31" s="21"/>
      <c r="AB31" s="21"/>
      <c r="AD31" s="21"/>
      <c r="AE31" s="21"/>
      <c r="AG31" s="21"/>
      <c r="AH31" s="21"/>
      <c r="AI31" s="21"/>
      <c r="AJ31" s="21"/>
      <c r="AK31" s="21"/>
      <c r="AL31" s="21"/>
      <c r="AM31" s="21"/>
      <c r="AN31" s="21"/>
      <c r="AO31" s="19"/>
      <c r="AP31" s="20"/>
      <c r="AQ31" s="21"/>
      <c r="AR31" s="21"/>
      <c r="AS31" s="21"/>
      <c r="AT31" s="21"/>
      <c r="AU31" s="21"/>
      <c r="AV31" s="21"/>
      <c r="AW31" s="21"/>
      <c r="AX31" s="21"/>
      <c r="AZ31" s="21"/>
      <c r="BA31" s="21"/>
      <c r="BB31" s="21"/>
      <c r="BC31" s="21"/>
      <c r="BD31" s="21"/>
      <c r="BE31" s="21"/>
      <c r="BF31" s="21"/>
      <c r="BG31" s="21"/>
      <c r="BH31" s="21"/>
      <c r="BJ31" s="21"/>
      <c r="BK31" s="21"/>
      <c r="BL31" s="21"/>
      <c r="BM31" s="21"/>
      <c r="BN31" s="21"/>
      <c r="BO31" s="21"/>
      <c r="BP31" s="14"/>
      <c r="BQ31" s="21"/>
      <c r="BR31" s="21"/>
      <c r="BS31" s="21"/>
    </row>
    <row r="32" spans="1:71" s="15" customFormat="1" x14ac:dyDescent="0.25">
      <c r="B32" s="25"/>
      <c r="C32" s="24"/>
      <c r="D32" s="24"/>
      <c r="E32" s="35"/>
      <c r="F32" s="101"/>
      <c r="G32" s="10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2:71" s="15" customFormat="1" x14ac:dyDescent="0.25">
      <c r="B33" s="25"/>
      <c r="C33" s="23"/>
      <c r="D33" s="24"/>
      <c r="E33" s="35"/>
      <c r="F33" s="101"/>
      <c r="G33" s="10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2:71" s="15" customFormat="1" x14ac:dyDescent="0.25">
      <c r="B34" s="21"/>
      <c r="C34" s="21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2:71" s="15" customFormat="1" x14ac:dyDescent="0.25">
      <c r="B35" s="21"/>
      <c r="C35" s="21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2:71" s="15" customFormat="1" x14ac:dyDescent="0.25">
      <c r="B36" s="21"/>
      <c r="C36" s="21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s="15" customFormat="1" x14ac:dyDescent="0.25">
      <c r="B37" s="21"/>
      <c r="C37" s="21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s="15" customFormat="1" x14ac:dyDescent="0.25">
      <c r="B38" s="21"/>
      <c r="C38" s="21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s="15" customFormat="1" x14ac:dyDescent="0.25">
      <c r="B39" s="21"/>
      <c r="C39" s="21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15" customFormat="1" x14ac:dyDescent="0.25">
      <c r="B40" s="21"/>
      <c r="C40" s="21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15" customFormat="1" x14ac:dyDescent="0.25">
      <c r="B41" s="21"/>
      <c r="C41" s="21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15" customFormat="1" x14ac:dyDescent="0.25">
      <c r="B42" s="21"/>
      <c r="C42" s="21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15" customFormat="1" x14ac:dyDescent="0.25">
      <c r="B43" s="21"/>
      <c r="C43" s="2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15" customFormat="1" x14ac:dyDescent="0.25">
      <c r="B44" s="21"/>
      <c r="C44" s="2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15" customFormat="1" x14ac:dyDescent="0.25">
      <c r="B45" s="21"/>
      <c r="C45" s="2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15" customFormat="1" x14ac:dyDescent="0.25">
      <c r="B46" s="21"/>
      <c r="C46" s="2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s="15" customFormat="1" x14ac:dyDescent="0.25">
      <c r="B47" s="21"/>
      <c r="C47" s="2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15" customFormat="1" x14ac:dyDescent="0.25">
      <c r="B48" s="21"/>
      <c r="C48" s="2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s="15" customFormat="1" x14ac:dyDescent="0.25">
      <c r="B49" s="21"/>
      <c r="C49" s="2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s="15" customFormat="1" x14ac:dyDescent="0.25">
      <c r="B50" s="21"/>
      <c r="C50" s="2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s="15" customFormat="1" x14ac:dyDescent="0.25">
      <c r="B51" s="21"/>
      <c r="C51" s="2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s="15" customFormat="1" x14ac:dyDescent="0.25">
      <c r="B52" s="21"/>
      <c r="C52" s="2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s="15" customFormat="1" x14ac:dyDescent="0.25">
      <c r="B53" s="21"/>
      <c r="C53" s="2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s="15" customFormat="1" x14ac:dyDescent="0.25">
      <c r="B54" s="21"/>
      <c r="C54" s="2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s="15" customFormat="1" x14ac:dyDescent="0.25">
      <c r="B55" s="21"/>
      <c r="C55" s="2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s="15" customFormat="1" x14ac:dyDescent="0.25">
      <c r="B56" s="21"/>
      <c r="C56" s="2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5" customFormat="1" x14ac:dyDescent="0.25">
      <c r="B57" s="21"/>
      <c r="C57" s="2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s="15" customFormat="1" x14ac:dyDescent="0.25">
      <c r="B58" s="21"/>
      <c r="C58" s="2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s="15" customFormat="1" x14ac:dyDescent="0.25">
      <c r="B59" s="21"/>
      <c r="C59" s="2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s="15" customFormat="1" x14ac:dyDescent="0.25">
      <c r="B60" s="21"/>
      <c r="C60" s="2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s="15" customFormat="1" x14ac:dyDescent="0.25">
      <c r="B61" s="21"/>
      <c r="C61" s="2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s="15" customFormat="1" x14ac:dyDescent="0.25">
      <c r="B62" s="21"/>
      <c r="C62" s="2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s="15" customFormat="1" x14ac:dyDescent="0.25">
      <c r="B63" s="21"/>
      <c r="C63" s="2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s="15" customFormat="1" x14ac:dyDescent="0.25">
      <c r="B64" s="21"/>
      <c r="C64" s="2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2:71" s="15" customFormat="1" x14ac:dyDescent="0.25">
      <c r="B65" s="21"/>
      <c r="C65" s="2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2:71" s="15" customFormat="1" x14ac:dyDescent="0.25">
      <c r="B66" s="21"/>
      <c r="C66" s="2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2:71" s="15" customFormat="1" x14ac:dyDescent="0.25">
      <c r="B67" s="21"/>
      <c r="C67" s="2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2:71" s="15" customFormat="1" x14ac:dyDescent="0.25">
      <c r="B68" s="21"/>
      <c r="C68" s="2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2:71" s="15" customFormat="1" x14ac:dyDescent="0.25">
      <c r="B69" s="21"/>
      <c r="C69" s="2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2:71" s="15" customFormat="1" x14ac:dyDescent="0.25">
      <c r="B70" s="21"/>
      <c r="C70" s="2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2:71" s="15" customFormat="1" x14ac:dyDescent="0.25">
      <c r="B71" s="21"/>
      <c r="C71" s="2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71" s="15" customFormat="1" x14ac:dyDescent="0.25">
      <c r="B72" s="21"/>
      <c r="C72" s="2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2:71" s="15" customFormat="1" x14ac:dyDescent="0.25">
      <c r="B73" s="21"/>
      <c r="C73" s="2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2:71" s="15" customFormat="1" x14ac:dyDescent="0.25">
      <c r="B74" s="21"/>
      <c r="C74" s="2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2:71" s="15" customFormat="1" x14ac:dyDescent="0.25">
      <c r="B75" s="21"/>
      <c r="C75" s="2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2:71" s="15" customFormat="1" x14ac:dyDescent="0.25">
      <c r="B76" s="21"/>
      <c r="C76" s="2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2:71" s="15" customFormat="1" x14ac:dyDescent="0.25">
      <c r="B77" s="21"/>
      <c r="C77" s="2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2:71" s="15" customFormat="1" x14ac:dyDescent="0.25">
      <c r="B78" s="21"/>
      <c r="C78" s="2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2:71" s="15" customFormat="1" x14ac:dyDescent="0.25">
      <c r="B79" s="21"/>
      <c r="C79" s="2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2:71" s="15" customFormat="1" x14ac:dyDescent="0.25">
      <c r="B80" s="21"/>
      <c r="C80" s="2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2:71" s="15" customFormat="1" x14ac:dyDescent="0.25">
      <c r="B81" s="21"/>
      <c r="C81" s="2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2:71" s="15" customFormat="1" x14ac:dyDescent="0.25">
      <c r="B82" s="21"/>
      <c r="C82" s="2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2:71" s="15" customFormat="1" x14ac:dyDescent="0.25">
      <c r="B83" s="21"/>
      <c r="C83" s="2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2:71" s="15" customFormat="1" x14ac:dyDescent="0.25">
      <c r="B84" s="21"/>
      <c r="C84" s="2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2:71" s="15" customFormat="1" x14ac:dyDescent="0.25">
      <c r="B85" s="21"/>
      <c r="C85" s="2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2:71" s="15" customFormat="1" x14ac:dyDescent="0.25">
      <c r="B86" s="21"/>
      <c r="C86" s="2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2:71" s="15" customFormat="1" x14ac:dyDescent="0.25">
      <c r="B87" s="21"/>
      <c r="C87" s="2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2:71" s="15" customFormat="1" x14ac:dyDescent="0.25">
      <c r="B88" s="21"/>
      <c r="C88" s="2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2:71" s="15" customFormat="1" x14ac:dyDescent="0.25">
      <c r="B89" s="21"/>
      <c r="C89" s="2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2:71" s="15" customFormat="1" x14ac:dyDescent="0.25">
      <c r="B90" s="21"/>
      <c r="C90" s="2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2:71" s="15" customFormat="1" x14ac:dyDescent="0.25">
      <c r="B91" s="21"/>
      <c r="C91" s="2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2:71" s="15" customFormat="1" x14ac:dyDescent="0.25">
      <c r="B92" s="21"/>
      <c r="C92" s="2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2:71" s="15" customFormat="1" x14ac:dyDescent="0.25">
      <c r="B93" s="21"/>
      <c r="C93" s="2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2:71" s="15" customFormat="1" x14ac:dyDescent="0.25">
      <c r="B94" s="21"/>
      <c r="C94" s="2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2:71" s="15" customFormat="1" x14ac:dyDescent="0.25">
      <c r="B95" s="21"/>
      <c r="C95" s="2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2:71" s="15" customFormat="1" x14ac:dyDescent="0.25">
      <c r="B96" s="21"/>
      <c r="C96" s="2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2:71" s="15" customFormat="1" x14ac:dyDescent="0.25">
      <c r="B97" s="21"/>
      <c r="C97" s="2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2:71" s="15" customFormat="1" x14ac:dyDescent="0.25">
      <c r="B98" s="21"/>
      <c r="C98" s="2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2:71" s="15" customFormat="1" x14ac:dyDescent="0.25">
      <c r="B99" s="21"/>
      <c r="C99" s="2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2:71" s="15" customFormat="1" x14ac:dyDescent="0.25">
      <c r="B100" s="21"/>
      <c r="C100" s="2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2:71" s="15" customFormat="1" x14ac:dyDescent="0.25">
      <c r="B101" s="21"/>
      <c r="C101" s="2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2:71" s="15" customFormat="1" x14ac:dyDescent="0.25">
      <c r="B102" s="21"/>
      <c r="C102" s="2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2:71" s="15" customFormat="1" x14ac:dyDescent="0.25">
      <c r="B103" s="21"/>
      <c r="C103" s="2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2:71" s="15" customFormat="1" x14ac:dyDescent="0.25">
      <c r="B104" s="21"/>
      <c r="C104" s="2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2:71" s="15" customFormat="1" x14ac:dyDescent="0.25">
      <c r="B105" s="21"/>
      <c r="C105" s="2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2:71" s="15" customFormat="1" x14ac:dyDescent="0.25">
      <c r="B106" s="21"/>
      <c r="C106" s="2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2:71" s="15" customFormat="1" x14ac:dyDescent="0.25">
      <c r="B107" s="21"/>
      <c r="C107" s="2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2:71" s="15" customFormat="1" x14ac:dyDescent="0.25">
      <c r="B108" s="21"/>
      <c r="C108" s="2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2:71" s="15" customFormat="1" x14ac:dyDescent="0.25">
      <c r="B109" s="21"/>
      <c r="C109" s="2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2:71" s="15" customFormat="1" x14ac:dyDescent="0.25">
      <c r="B110" s="21"/>
      <c r="C110" s="2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2:71" s="15" customFormat="1" x14ac:dyDescent="0.25">
      <c r="B111" s="21"/>
      <c r="C111" s="2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2:71" s="15" customFormat="1" x14ac:dyDescent="0.25">
      <c r="B112" s="21"/>
      <c r="C112" s="2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s="15" customFormat="1" x14ac:dyDescent="0.25">
      <c r="B113" s="21"/>
      <c r="C113" s="2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s="15" customFormat="1" x14ac:dyDescent="0.25">
      <c r="B114" s="21"/>
      <c r="C114" s="2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s="15" customFormat="1" x14ac:dyDescent="0.25">
      <c r="B115" s="21"/>
      <c r="C115" s="2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s="15" customFormat="1" x14ac:dyDescent="0.25">
      <c r="B116" s="21"/>
      <c r="C116" s="2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s="15" customFormat="1" x14ac:dyDescent="0.25">
      <c r="B117" s="21"/>
      <c r="C117" s="2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s="15" customFormat="1" x14ac:dyDescent="0.25">
      <c r="B118" s="21"/>
      <c r="C118" s="2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s="15" customFormat="1" x14ac:dyDescent="0.25">
      <c r="B119" s="21"/>
      <c r="C119" s="2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s="15" customFormat="1" x14ac:dyDescent="0.25">
      <c r="B120" s="21"/>
      <c r="C120" s="2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s="15" customFormat="1" x14ac:dyDescent="0.25">
      <c r="B121" s="21"/>
      <c r="C121" s="2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s="15" customFormat="1" x14ac:dyDescent="0.25">
      <c r="B122" s="21"/>
      <c r="C122" s="2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s="15" customFormat="1" x14ac:dyDescent="0.25">
      <c r="B123" s="21"/>
      <c r="C123" s="2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s="15" customFormat="1" x14ac:dyDescent="0.25">
      <c r="B124" s="21"/>
      <c r="C124" s="2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s="15" customFormat="1" x14ac:dyDescent="0.25">
      <c r="B125" s="21"/>
      <c r="C125" s="2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s="15" customFormat="1" x14ac:dyDescent="0.25">
      <c r="B126" s="21"/>
      <c r="C126" s="2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s="15" customFormat="1" x14ac:dyDescent="0.25">
      <c r="B127" s="21"/>
      <c r="C127" s="2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s="15" customFormat="1" x14ac:dyDescent="0.25">
      <c r="B128" s="21"/>
      <c r="C128" s="2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s="15" customFormat="1" x14ac:dyDescent="0.25">
      <c r="B129" s="21"/>
      <c r="C129" s="2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2:71" s="15" customFormat="1" x14ac:dyDescent="0.25">
      <c r="B130" s="21"/>
      <c r="C130" s="2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2:71" s="15" customFormat="1" x14ac:dyDescent="0.25">
      <c r="B131" s="21"/>
      <c r="C131" s="2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2:71" s="15" customFormat="1" x14ac:dyDescent="0.25">
      <c r="B132" s="21"/>
      <c r="C132" s="2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2:71" s="15" customFormat="1" x14ac:dyDescent="0.25">
      <c r="B133" s="21"/>
      <c r="C133" s="2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2:71" s="15" customFormat="1" x14ac:dyDescent="0.25">
      <c r="B134" s="21"/>
      <c r="C134" s="2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2:71" s="15" customFormat="1" x14ac:dyDescent="0.25">
      <c r="B135" s="21"/>
      <c r="C135" s="2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2:71" s="15" customFormat="1" x14ac:dyDescent="0.25">
      <c r="B136" s="21"/>
      <c r="C136" s="2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</sheetData>
  <mergeCells count="15">
    <mergeCell ref="BI4:BP4"/>
    <mergeCell ref="AY14:BC14"/>
    <mergeCell ref="T4:AN4"/>
    <mergeCell ref="AO4:AP4"/>
    <mergeCell ref="AQ4:AR4"/>
    <mergeCell ref="AS4:AX4"/>
    <mergeCell ref="AY4:BC4"/>
    <mergeCell ref="BD4:BH4"/>
    <mergeCell ref="AY6:BC6"/>
    <mergeCell ref="AY7:BC7"/>
    <mergeCell ref="AY8:BC8"/>
    <mergeCell ref="AY9:BC9"/>
    <mergeCell ref="AY10:BC10"/>
    <mergeCell ref="AY11:BC11"/>
    <mergeCell ref="AY12:BC12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S12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9" sqref="D29"/>
    </sheetView>
  </sheetViews>
  <sheetFormatPr defaultColWidth="9.140625" defaultRowHeight="15" x14ac:dyDescent="0.25"/>
  <cols>
    <col min="1" max="1" width="10.28515625" style="4" hidden="1" customWidth="1"/>
    <col min="2" max="2" width="12.28515625" style="21" bestFit="1" customWidth="1"/>
    <col min="3" max="3" width="8.7109375" style="21" bestFit="1" customWidth="1"/>
    <col min="4" max="4" width="29" style="4" customWidth="1"/>
    <col min="5" max="5" width="51" style="15" customWidth="1"/>
    <col min="6" max="6" width="22.7109375" style="4" customWidth="1"/>
    <col min="7" max="7" width="18.4257812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9.140625" style="4" customWidth="1"/>
    <col min="43" max="43" width="14.85546875" style="4" customWidth="1"/>
    <col min="44" max="44" width="17.140625" style="4" customWidth="1"/>
    <col min="45" max="45" width="11.5703125" style="4" bestFit="1" customWidth="1"/>
    <col min="46" max="46" width="11.140625" style="4" bestFit="1" customWidth="1"/>
    <col min="47" max="47" width="11.42578125" style="4" bestFit="1" customWidth="1"/>
    <col min="48" max="48" width="8.28515625" style="4" bestFit="1" customWidth="1"/>
    <col min="49" max="49" width="11.42578125" style="4" bestFit="1" customWidth="1"/>
    <col min="50" max="50" width="8.85546875" style="4" bestFit="1" customWidth="1"/>
    <col min="51" max="51" width="7" style="4" bestFit="1" customWidth="1"/>
    <col min="52" max="52" width="17.85546875" style="4" customWidth="1"/>
    <col min="53" max="53" width="6.85546875" style="4" bestFit="1" customWidth="1"/>
    <col min="54" max="54" width="6.7109375" style="4" customWidth="1"/>
    <col min="55" max="55" width="7.5703125" style="4" bestFit="1" customWidth="1"/>
    <col min="56" max="56" width="7" style="4" bestFit="1" customWidth="1"/>
    <col min="57" max="57" width="20.140625" style="4" bestFit="1" customWidth="1"/>
    <col min="58" max="58" width="6.85546875" style="4" bestFit="1" customWidth="1"/>
    <col min="59" max="59" width="5.5703125" style="4" bestFit="1" customWidth="1"/>
    <col min="60" max="60" width="7.5703125" style="4" bestFit="1" customWidth="1"/>
    <col min="61" max="61" width="17.85546875" style="4" customWidth="1"/>
    <col min="62" max="62" width="10.42578125" style="4" bestFit="1" customWidth="1"/>
    <col min="63" max="63" width="12" style="4" bestFit="1" customWidth="1"/>
    <col min="64" max="65" width="14.42578125" style="4" bestFit="1" customWidth="1"/>
    <col min="66" max="66" width="13.28515625" style="4" bestFit="1" customWidth="1"/>
    <col min="67" max="67" width="16.28515625" style="4" bestFit="1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16384" width="9.140625" style="4"/>
  </cols>
  <sheetData>
    <row r="2" spans="1:71" ht="23.25" x14ac:dyDescent="0.25">
      <c r="E2" s="2" t="s">
        <v>81</v>
      </c>
      <c r="G2" s="2"/>
      <c r="H2" s="3"/>
    </row>
    <row r="3" spans="1:71" ht="20.25" x14ac:dyDescent="0.25">
      <c r="E3" s="55">
        <v>41983</v>
      </c>
    </row>
    <row r="4" spans="1:71" ht="15.75" customHeight="1" x14ac:dyDescent="0.25">
      <c r="D4" s="16" t="s">
        <v>17</v>
      </c>
      <c r="F4" s="65"/>
      <c r="G4" s="65"/>
      <c r="H4" s="66" t="s">
        <v>15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09" t="s">
        <v>16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 t="s">
        <v>85</v>
      </c>
      <c r="AP4" s="210"/>
      <c r="AQ4" s="211" t="s">
        <v>19</v>
      </c>
      <c r="AR4" s="211"/>
      <c r="AS4" s="212" t="s">
        <v>91</v>
      </c>
      <c r="AT4" s="212"/>
      <c r="AU4" s="212"/>
      <c r="AV4" s="212"/>
      <c r="AW4" s="212"/>
      <c r="AX4" s="212"/>
      <c r="AY4" s="213" t="s">
        <v>22</v>
      </c>
      <c r="AZ4" s="213"/>
      <c r="BA4" s="213"/>
      <c r="BB4" s="213"/>
      <c r="BC4" s="213"/>
      <c r="BD4" s="208" t="s">
        <v>28</v>
      </c>
      <c r="BE4" s="208"/>
      <c r="BF4" s="208"/>
      <c r="BG4" s="208"/>
      <c r="BH4" s="208"/>
      <c r="BI4" s="207" t="s">
        <v>34</v>
      </c>
      <c r="BJ4" s="207"/>
      <c r="BK4" s="207"/>
      <c r="BL4" s="207"/>
      <c r="BM4" s="207"/>
      <c r="BN4" s="207"/>
      <c r="BO4" s="207"/>
      <c r="BP4" s="207"/>
    </row>
    <row r="5" spans="1:71" x14ac:dyDescent="0.25">
      <c r="B5" s="17" t="s">
        <v>0</v>
      </c>
      <c r="C5" s="22" t="s">
        <v>83</v>
      </c>
      <c r="D5" s="17" t="s">
        <v>2</v>
      </c>
      <c r="E5" s="5" t="s">
        <v>1</v>
      </c>
      <c r="F5" s="6" t="s">
        <v>3</v>
      </c>
      <c r="G5" s="6" t="s">
        <v>7</v>
      </c>
      <c r="H5" s="6" t="s">
        <v>4</v>
      </c>
      <c r="I5" s="6" t="s">
        <v>6</v>
      </c>
      <c r="J5" s="6" t="s">
        <v>5</v>
      </c>
      <c r="K5" s="6" t="s">
        <v>56</v>
      </c>
      <c r="L5" s="6" t="s">
        <v>54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80</v>
      </c>
      <c r="S5" s="6" t="s">
        <v>61</v>
      </c>
      <c r="T5" s="7" t="s">
        <v>8</v>
      </c>
      <c r="U5" s="7" t="s">
        <v>47</v>
      </c>
      <c r="V5" s="7" t="s">
        <v>9</v>
      </c>
      <c r="W5" s="7" t="s">
        <v>36</v>
      </c>
      <c r="X5" s="7" t="s">
        <v>10</v>
      </c>
      <c r="Y5" s="7" t="s">
        <v>48</v>
      </c>
      <c r="Z5" s="7" t="s">
        <v>11</v>
      </c>
      <c r="AA5" s="7" t="s">
        <v>53</v>
      </c>
      <c r="AB5" s="7" t="s">
        <v>12</v>
      </c>
      <c r="AC5" s="7" t="s">
        <v>52</v>
      </c>
      <c r="AD5" s="7" t="s">
        <v>49</v>
      </c>
      <c r="AE5" s="7" t="s">
        <v>14</v>
      </c>
      <c r="AF5" s="7" t="s">
        <v>37</v>
      </c>
      <c r="AG5" s="7" t="s">
        <v>50</v>
      </c>
      <c r="AH5" s="7" t="s">
        <v>51</v>
      </c>
      <c r="AI5" s="7" t="s">
        <v>46</v>
      </c>
      <c r="AJ5" s="7" t="s">
        <v>38</v>
      </c>
      <c r="AK5" s="7" t="s">
        <v>86</v>
      </c>
      <c r="AL5" s="7" t="s">
        <v>39</v>
      </c>
      <c r="AM5" s="7" t="s">
        <v>40</v>
      </c>
      <c r="AN5" s="7" t="s">
        <v>13</v>
      </c>
      <c r="AO5" s="11" t="s">
        <v>20</v>
      </c>
      <c r="AP5" s="11" t="s">
        <v>21</v>
      </c>
      <c r="AQ5" s="8" t="s">
        <v>18</v>
      </c>
      <c r="AR5" s="8" t="s">
        <v>55</v>
      </c>
      <c r="AS5" s="70" t="s">
        <v>23</v>
      </c>
      <c r="AT5" s="70" t="s">
        <v>24</v>
      </c>
      <c r="AU5" s="70" t="s">
        <v>25</v>
      </c>
      <c r="AV5" s="70" t="s">
        <v>92</v>
      </c>
      <c r="AW5" s="70" t="s">
        <v>25</v>
      </c>
      <c r="AX5" s="70" t="s">
        <v>93</v>
      </c>
      <c r="AY5" s="9" t="s">
        <v>23</v>
      </c>
      <c r="AZ5" s="9" t="s">
        <v>24</v>
      </c>
      <c r="BA5" s="9" t="s">
        <v>25</v>
      </c>
      <c r="BB5" s="9" t="s">
        <v>26</v>
      </c>
      <c r="BC5" s="9" t="s">
        <v>27</v>
      </c>
      <c r="BD5" s="10" t="s">
        <v>23</v>
      </c>
      <c r="BE5" s="10" t="s">
        <v>24</v>
      </c>
      <c r="BF5" s="10" t="s">
        <v>25</v>
      </c>
      <c r="BG5" s="10" t="s">
        <v>26</v>
      </c>
      <c r="BH5" s="10" t="s">
        <v>27</v>
      </c>
      <c r="BI5" s="11" t="s">
        <v>45</v>
      </c>
      <c r="BJ5" s="12" t="s">
        <v>29</v>
      </c>
      <c r="BK5" s="12" t="s">
        <v>30</v>
      </c>
      <c r="BL5" s="12" t="s">
        <v>31</v>
      </c>
      <c r="BM5" s="12" t="s">
        <v>32</v>
      </c>
      <c r="BN5" s="12" t="s">
        <v>33</v>
      </c>
      <c r="BO5" s="12" t="s">
        <v>35</v>
      </c>
      <c r="BP5" s="12" t="s">
        <v>44</v>
      </c>
      <c r="BQ5" s="12" t="s">
        <v>41</v>
      </c>
      <c r="BR5" s="12" t="s">
        <v>42</v>
      </c>
      <c r="BS5" s="12" t="s">
        <v>43</v>
      </c>
    </row>
    <row r="6" spans="1:71" s="1" customFormat="1" ht="41.25" customHeight="1" x14ac:dyDescent="0.25">
      <c r="A6" s="103">
        <v>41983</v>
      </c>
      <c r="B6" s="105" t="s">
        <v>139</v>
      </c>
      <c r="C6" s="73" t="s">
        <v>73</v>
      </c>
      <c r="D6" s="64" t="s">
        <v>88</v>
      </c>
      <c r="E6" s="106" t="s">
        <v>145</v>
      </c>
      <c r="F6" s="35" t="s">
        <v>140</v>
      </c>
      <c r="G6" s="78" t="s">
        <v>143</v>
      </c>
      <c r="H6" s="35" t="s">
        <v>140</v>
      </c>
      <c r="I6" s="35" t="s">
        <v>144</v>
      </c>
      <c r="J6" s="44"/>
      <c r="K6" s="45"/>
      <c r="L6" s="45"/>
      <c r="M6" s="45"/>
      <c r="N6" s="69"/>
      <c r="O6" s="69"/>
      <c r="P6" s="69"/>
      <c r="Q6" s="69"/>
      <c r="R6" s="69"/>
      <c r="S6" s="69"/>
      <c r="T6" s="98"/>
      <c r="U6" s="68"/>
      <c r="V6" s="44"/>
      <c r="W6" s="68"/>
      <c r="X6" s="98"/>
      <c r="Y6" s="68"/>
      <c r="Z6" s="98"/>
      <c r="AA6" s="44"/>
      <c r="AB6" s="57"/>
      <c r="AC6" s="57"/>
      <c r="AD6" s="57"/>
      <c r="AE6" s="57"/>
      <c r="AF6" s="35"/>
      <c r="AG6" s="57"/>
      <c r="AH6" s="57"/>
      <c r="AI6" s="43"/>
      <c r="AJ6" s="57"/>
      <c r="AK6" s="57"/>
      <c r="AL6" s="57"/>
      <c r="AM6" s="57"/>
      <c r="AN6" s="86"/>
      <c r="AO6" s="107">
        <v>9.8699999999999992</v>
      </c>
      <c r="AP6" s="42">
        <f>AO6/0.444</f>
        <v>22.229729729729726</v>
      </c>
      <c r="AQ6" s="95" t="s">
        <v>141</v>
      </c>
      <c r="AR6" s="96">
        <v>10038568738223</v>
      </c>
      <c r="AS6" s="72"/>
      <c r="AT6" s="72"/>
      <c r="AU6" s="72"/>
      <c r="AV6" s="110">
        <v>2.9820000000000002</v>
      </c>
      <c r="AW6" s="110">
        <v>3.9359999999999999</v>
      </c>
      <c r="AX6" s="110">
        <v>2.39</v>
      </c>
      <c r="AY6" s="220" t="s">
        <v>142</v>
      </c>
      <c r="AZ6" s="221"/>
      <c r="BA6" s="221"/>
      <c r="BB6" s="221"/>
      <c r="BC6" s="108">
        <f>0.84+0.1</f>
        <v>0.94</v>
      </c>
      <c r="BD6" s="108">
        <f>10.5+(0.125*2)</f>
        <v>10.75</v>
      </c>
      <c r="BE6" s="108">
        <f>7+(0.125*2)</f>
        <v>7.25</v>
      </c>
      <c r="BF6" s="108">
        <f>4.12+(0.125*4)</f>
        <v>4.62</v>
      </c>
      <c r="BG6" s="112">
        <f t="shared" ref="BG6" si="0">(BF6*BE6*BD6)/1728</f>
        <v>0.2083745659722222</v>
      </c>
      <c r="BH6" s="74">
        <f>(BC6*6)+0.25</f>
        <v>5.89</v>
      </c>
      <c r="BI6" s="109" t="s">
        <v>68</v>
      </c>
      <c r="BJ6" s="109">
        <v>6</v>
      </c>
      <c r="BK6" s="109">
        <v>22</v>
      </c>
      <c r="BL6" s="109">
        <v>9</v>
      </c>
      <c r="BM6" s="49">
        <f t="shared" ref="BM6" si="1">BJ6*BK6*BL6</f>
        <v>1188</v>
      </c>
      <c r="BN6" s="49">
        <f t="shared" ref="BN6" si="2">(BH6*BK6*BL6)+50</f>
        <v>1216.2199999999998</v>
      </c>
      <c r="BO6" s="109" t="s">
        <v>62</v>
      </c>
      <c r="BP6" s="49" t="s">
        <v>67</v>
      </c>
      <c r="BQ6" s="71"/>
      <c r="BR6" s="71"/>
      <c r="BS6" s="71"/>
    </row>
    <row r="7" spans="1:71" s="1" customFormat="1" ht="15" customHeight="1" x14ac:dyDescent="0.25">
      <c r="A7" s="92"/>
      <c r="B7" s="59"/>
      <c r="C7" s="73"/>
      <c r="D7" s="73"/>
      <c r="E7" s="47"/>
      <c r="F7" s="46"/>
      <c r="G7" s="35"/>
      <c r="H7" s="57"/>
      <c r="I7" s="57"/>
      <c r="J7" s="44"/>
      <c r="K7" s="45"/>
      <c r="L7" s="69"/>
      <c r="M7" s="69"/>
      <c r="N7" s="69"/>
      <c r="O7" s="69"/>
      <c r="P7" s="69"/>
      <c r="Q7" s="69"/>
      <c r="R7" s="69"/>
      <c r="S7" s="69"/>
      <c r="T7" s="44"/>
      <c r="U7" s="68"/>
      <c r="V7" s="44"/>
      <c r="W7" s="68"/>
      <c r="X7" s="44"/>
      <c r="Y7" s="68"/>
      <c r="Z7" s="44"/>
      <c r="AA7" s="44"/>
      <c r="AB7" s="57"/>
      <c r="AC7" s="57"/>
      <c r="AD7" s="57"/>
      <c r="AE7" s="57"/>
      <c r="AF7" s="57"/>
      <c r="AG7" s="57"/>
      <c r="AH7" s="57"/>
      <c r="AI7" s="43"/>
      <c r="AJ7" s="57"/>
      <c r="AK7" s="57"/>
      <c r="AL7" s="57"/>
      <c r="AM7" s="57"/>
      <c r="AN7" s="44"/>
      <c r="AO7" s="58"/>
      <c r="AP7" s="42"/>
      <c r="AQ7" s="48"/>
      <c r="AR7" s="48"/>
      <c r="AS7" s="48"/>
      <c r="AT7" s="48"/>
      <c r="AU7" s="48"/>
      <c r="AV7" s="51"/>
      <c r="AW7" s="51"/>
      <c r="AX7" s="48"/>
      <c r="AY7" s="222"/>
      <c r="AZ7" s="223"/>
      <c r="BA7" s="223"/>
      <c r="BB7" s="223"/>
      <c r="BC7" s="224"/>
      <c r="BD7" s="108"/>
      <c r="BE7" s="108"/>
      <c r="BF7" s="108"/>
      <c r="BG7" s="112"/>
      <c r="BH7" s="109"/>
      <c r="BI7" s="60"/>
      <c r="BJ7" s="109"/>
      <c r="BK7" s="109"/>
      <c r="BL7" s="109"/>
      <c r="BM7" s="49"/>
      <c r="BN7" s="49"/>
      <c r="BO7" s="49"/>
      <c r="BP7" s="49"/>
      <c r="BQ7" s="71"/>
      <c r="BR7" s="71"/>
      <c r="BS7" s="71"/>
    </row>
    <row r="8" spans="1:71" s="21" customFormat="1" x14ac:dyDescent="0.25">
      <c r="B8" s="18"/>
      <c r="C8" s="18"/>
      <c r="D8" s="18"/>
      <c r="E8" s="18"/>
      <c r="F8" s="18"/>
      <c r="G8" s="14"/>
      <c r="H8" s="4"/>
      <c r="I8" s="4"/>
      <c r="J8" s="4"/>
      <c r="T8" s="4"/>
      <c r="Z8" s="4"/>
      <c r="AA8" s="4"/>
      <c r="AO8" s="19"/>
      <c r="AP8" s="20"/>
      <c r="AQ8" s="4"/>
      <c r="AY8" s="13"/>
      <c r="AZ8" s="13"/>
      <c r="BA8" s="13"/>
      <c r="BB8" s="4"/>
      <c r="BC8" s="13"/>
      <c r="BD8" s="13"/>
      <c r="BE8" s="13"/>
      <c r="BF8" s="13"/>
      <c r="BG8" s="4"/>
      <c r="BH8" s="13"/>
      <c r="BI8" s="4"/>
      <c r="BJ8" s="4"/>
      <c r="BO8" s="4"/>
      <c r="BP8" s="14"/>
    </row>
    <row r="9" spans="1:71" ht="7.5" customHeight="1" x14ac:dyDescent="0.25">
      <c r="B9" s="28"/>
      <c r="C9" s="28"/>
      <c r="D9" s="28"/>
      <c r="E9" s="28"/>
      <c r="F9" s="28"/>
      <c r="G9" s="28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9"/>
      <c r="U9" s="30"/>
      <c r="V9" s="30"/>
      <c r="W9" s="30"/>
      <c r="X9" s="30"/>
      <c r="Y9" s="30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32"/>
      <c r="AQ9" s="29"/>
      <c r="AR9" s="30"/>
      <c r="AS9" s="30"/>
      <c r="AT9" s="30"/>
      <c r="AU9" s="30"/>
      <c r="AV9" s="30"/>
      <c r="AW9" s="30"/>
      <c r="AX9" s="30"/>
      <c r="AY9" s="33"/>
      <c r="AZ9" s="33"/>
      <c r="BA9" s="33"/>
      <c r="BB9" s="29"/>
      <c r="BC9" s="33"/>
      <c r="BD9" s="33"/>
      <c r="BE9" s="33"/>
      <c r="BF9" s="33"/>
      <c r="BG9" s="29"/>
      <c r="BH9" s="33"/>
      <c r="BI9" s="29"/>
      <c r="BJ9" s="29"/>
      <c r="BK9" s="30"/>
      <c r="BL9" s="30"/>
      <c r="BM9" s="30"/>
      <c r="BN9" s="30"/>
      <c r="BO9" s="29"/>
      <c r="BP9" s="34"/>
      <c r="BQ9" s="30"/>
      <c r="BR9" s="21"/>
      <c r="BS9" s="21"/>
    </row>
    <row r="10" spans="1:71" ht="7.5" customHeight="1" x14ac:dyDescent="0.25">
      <c r="B10" s="18"/>
      <c r="C10" s="18"/>
      <c r="D10" s="18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U10" s="21"/>
      <c r="V10" s="21"/>
      <c r="W10" s="21"/>
      <c r="X10" s="21"/>
      <c r="Y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9"/>
      <c r="AP10" s="20"/>
      <c r="AR10" s="21"/>
      <c r="AS10" s="21"/>
      <c r="AT10" s="21"/>
      <c r="AU10" s="21"/>
      <c r="AV10" s="21"/>
      <c r="AW10" s="21"/>
      <c r="AX10" s="21"/>
      <c r="AY10" s="13"/>
      <c r="AZ10" s="13"/>
      <c r="BA10" s="13"/>
      <c r="BC10" s="13"/>
      <c r="BD10" s="13"/>
      <c r="BE10" s="13"/>
      <c r="BF10" s="13"/>
      <c r="BH10" s="13"/>
      <c r="BK10" s="21"/>
      <c r="BL10" s="21"/>
      <c r="BM10" s="21"/>
      <c r="BN10" s="21"/>
      <c r="BP10" s="14"/>
      <c r="BQ10" s="21"/>
      <c r="BR10" s="21"/>
      <c r="BS10" s="21"/>
    </row>
    <row r="11" spans="1:71" ht="23.25" x14ac:dyDescent="0.25">
      <c r="B11" s="18"/>
      <c r="C11" s="18"/>
      <c r="D11" s="18"/>
      <c r="E11" s="27" t="s">
        <v>74</v>
      </c>
      <c r="G11" s="18"/>
      <c r="U11" s="21"/>
      <c r="V11" s="21"/>
      <c r="W11" s="21"/>
      <c r="Y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9"/>
      <c r="AP11" s="20"/>
      <c r="AR11" s="21"/>
      <c r="AS11" s="21"/>
      <c r="AT11" s="21"/>
      <c r="AU11" s="21"/>
      <c r="AV11" s="21"/>
      <c r="AW11" s="21"/>
      <c r="AX11" s="21"/>
      <c r="AY11" s="13"/>
      <c r="AZ11" s="13"/>
      <c r="BA11" s="13"/>
      <c r="BC11" s="13"/>
      <c r="BD11" s="13"/>
      <c r="BE11" s="13"/>
      <c r="BF11" s="13"/>
      <c r="BH11" s="13"/>
      <c r="BK11" s="21"/>
      <c r="BL11" s="21"/>
      <c r="BM11" s="21"/>
      <c r="BN11" s="21"/>
      <c r="BP11" s="14"/>
      <c r="BQ11" s="21"/>
      <c r="BR11" s="21"/>
      <c r="BS11" s="21"/>
    </row>
    <row r="12" spans="1:71" s="21" customFormat="1" x14ac:dyDescent="0.25">
      <c r="B12" s="18"/>
      <c r="C12" s="18"/>
      <c r="D12" s="18"/>
      <c r="E12" s="18"/>
      <c r="F12" s="18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9"/>
      <c r="AP12" s="20"/>
      <c r="AQ12" s="4"/>
      <c r="AR12" s="4"/>
      <c r="AS12" s="4"/>
      <c r="AT12" s="4"/>
      <c r="AU12" s="4"/>
      <c r="AV12" s="4"/>
      <c r="AW12" s="4"/>
      <c r="AX12" s="4"/>
      <c r="AY12" s="13"/>
      <c r="AZ12" s="13"/>
      <c r="BA12" s="13"/>
      <c r="BB12" s="4"/>
      <c r="BC12" s="13"/>
      <c r="BD12" s="13"/>
      <c r="BE12" s="13"/>
      <c r="BF12" s="13"/>
      <c r="BG12" s="4"/>
      <c r="BH12" s="13"/>
      <c r="BI12" s="4"/>
      <c r="BJ12" s="4"/>
      <c r="BK12" s="4"/>
      <c r="BL12" s="4"/>
      <c r="BO12" s="4"/>
      <c r="BP12" s="14"/>
      <c r="BQ12" s="4"/>
      <c r="BR12" s="4"/>
      <c r="BS12" s="4"/>
    </row>
    <row r="13" spans="1:71" x14ac:dyDescent="0.25">
      <c r="B13" s="18"/>
      <c r="C13" s="18"/>
      <c r="D13" s="18"/>
      <c r="E13" s="5" t="s">
        <v>75</v>
      </c>
      <c r="F13" s="7" t="s">
        <v>87</v>
      </c>
      <c r="G13" s="7" t="s">
        <v>76</v>
      </c>
      <c r="AO13" s="19"/>
      <c r="AP13" s="20"/>
      <c r="AY13" s="13"/>
      <c r="AZ13" s="13"/>
      <c r="BA13" s="13"/>
      <c r="BC13" s="13"/>
      <c r="BD13" s="13"/>
      <c r="BE13" s="13"/>
      <c r="BF13" s="13"/>
      <c r="BH13" s="13"/>
      <c r="BM13" s="21"/>
      <c r="BN13" s="21"/>
      <c r="BP13" s="14"/>
    </row>
    <row r="14" spans="1:71" x14ac:dyDescent="0.25">
      <c r="A14" s="92"/>
      <c r="B14" s="90" t="s">
        <v>146</v>
      </c>
      <c r="C14" s="23" t="s">
        <v>73</v>
      </c>
      <c r="D14" s="51" t="s">
        <v>82</v>
      </c>
      <c r="E14" s="91">
        <v>41974</v>
      </c>
      <c r="F14" s="58">
        <v>41.56</v>
      </c>
      <c r="G14" s="58">
        <v>30.27</v>
      </c>
      <c r="AO14" s="19"/>
      <c r="AP14" s="20"/>
      <c r="AY14" s="13"/>
      <c r="AZ14" s="13"/>
      <c r="BA14" s="13"/>
      <c r="BC14" s="13"/>
      <c r="BD14" s="13"/>
      <c r="BE14" s="13"/>
      <c r="BF14" s="13"/>
      <c r="BH14" s="13"/>
      <c r="BM14" s="21"/>
      <c r="BN14" s="21"/>
      <c r="BP14" s="14"/>
    </row>
    <row r="15" spans="1:71" x14ac:dyDescent="0.25">
      <c r="B15" s="23"/>
      <c r="C15" s="23"/>
      <c r="D15" s="23"/>
      <c r="E15" s="91"/>
      <c r="F15" s="58"/>
      <c r="G15" s="58"/>
      <c r="AO15" s="19"/>
      <c r="AP15" s="20"/>
      <c r="AY15" s="13"/>
      <c r="AZ15" s="13"/>
      <c r="BA15" s="13"/>
      <c r="BC15" s="13"/>
      <c r="BD15" s="13"/>
      <c r="BE15" s="13"/>
      <c r="BF15" s="13"/>
      <c r="BH15" s="13"/>
      <c r="BM15" s="21"/>
      <c r="BN15" s="21"/>
      <c r="BP15" s="14"/>
    </row>
    <row r="16" spans="1:71" x14ac:dyDescent="0.25">
      <c r="B16" s="23"/>
      <c r="C16" s="23"/>
      <c r="D16" s="23"/>
      <c r="E16" s="62"/>
      <c r="F16" s="58"/>
      <c r="G16" s="5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  <c r="V16" s="21"/>
      <c r="W16" s="21"/>
      <c r="X16" s="21"/>
      <c r="Y16" s="21"/>
      <c r="AD16" s="21"/>
      <c r="AE16" s="21"/>
      <c r="AF16" s="21"/>
      <c r="AG16" s="21"/>
      <c r="AH16" s="21"/>
      <c r="AI16" s="21"/>
      <c r="AL16" s="21"/>
      <c r="AM16" s="21"/>
      <c r="AN16" s="21"/>
      <c r="AO16" s="19"/>
      <c r="AP16" s="20"/>
      <c r="AR16" s="21"/>
      <c r="AS16" s="21"/>
      <c r="AT16" s="21"/>
      <c r="AU16" s="21"/>
      <c r="AV16" s="21"/>
      <c r="AW16" s="21"/>
      <c r="AX16" s="21"/>
      <c r="AY16" s="13"/>
      <c r="AZ16" s="13"/>
      <c r="BA16" s="13"/>
      <c r="BC16" s="13"/>
      <c r="BD16" s="13"/>
      <c r="BE16" s="13"/>
      <c r="BF16" s="13"/>
      <c r="BH16" s="13"/>
      <c r="BK16" s="21"/>
      <c r="BL16" s="21"/>
      <c r="BM16" s="21"/>
      <c r="BN16" s="21"/>
      <c r="BP16" s="14"/>
      <c r="BQ16" s="21"/>
      <c r="BR16" s="21"/>
      <c r="BS16" s="21"/>
    </row>
    <row r="17" spans="2:71" x14ac:dyDescent="0.25">
      <c r="B17" s="18"/>
      <c r="C17" s="18"/>
      <c r="D17" s="18"/>
      <c r="E17" s="18"/>
      <c r="F17" s="18"/>
      <c r="G17" s="18"/>
      <c r="AP17" s="20"/>
      <c r="AQ17" s="21"/>
      <c r="BN17" s="21"/>
      <c r="BP17" s="14"/>
    </row>
    <row r="18" spans="2:71" ht="7.5" customHeight="1" x14ac:dyDescent="0.25">
      <c r="B18" s="28"/>
      <c r="C18" s="28"/>
      <c r="D18" s="28"/>
      <c r="E18" s="28"/>
      <c r="F18" s="28"/>
      <c r="G18" s="2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U18" s="21"/>
      <c r="V18" s="21"/>
      <c r="W18" s="21"/>
      <c r="X18" s="21"/>
      <c r="Y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9"/>
      <c r="AP18" s="20"/>
      <c r="AR18" s="21"/>
      <c r="AS18" s="21"/>
      <c r="AT18" s="21"/>
      <c r="AU18" s="21"/>
      <c r="AV18" s="21"/>
      <c r="AW18" s="21"/>
      <c r="AX18" s="21"/>
      <c r="AY18" s="13"/>
      <c r="AZ18" s="13"/>
      <c r="BA18" s="13"/>
      <c r="BC18" s="13"/>
      <c r="BD18" s="13"/>
      <c r="BE18" s="13"/>
      <c r="BF18" s="13"/>
      <c r="BH18" s="13"/>
      <c r="BK18" s="21"/>
      <c r="BL18" s="21"/>
      <c r="BM18" s="21"/>
      <c r="BN18" s="21"/>
      <c r="BP18" s="14"/>
      <c r="BQ18" s="21"/>
      <c r="BR18" s="21"/>
      <c r="BS18" s="21"/>
    </row>
    <row r="19" spans="2:71" ht="7.5" customHeight="1" x14ac:dyDescent="0.25">
      <c r="B19" s="18"/>
      <c r="C19" s="18"/>
      <c r="D19" s="18"/>
      <c r="E19" s="18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  <c r="V19" s="21"/>
      <c r="W19" s="21"/>
      <c r="X19" s="21"/>
      <c r="Y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9"/>
      <c r="AP19" s="20"/>
      <c r="AR19" s="21"/>
      <c r="AS19" s="21"/>
      <c r="AT19" s="21"/>
      <c r="AU19" s="21"/>
      <c r="AV19" s="21"/>
      <c r="AW19" s="21"/>
      <c r="AX19" s="21"/>
      <c r="AY19" s="13"/>
      <c r="AZ19" s="13"/>
      <c r="BA19" s="13"/>
      <c r="BC19" s="13"/>
      <c r="BD19" s="13"/>
      <c r="BE19" s="13"/>
      <c r="BF19" s="13"/>
      <c r="BH19" s="13"/>
      <c r="BK19" s="21"/>
      <c r="BL19" s="21"/>
      <c r="BM19" s="21"/>
      <c r="BN19" s="21"/>
      <c r="BP19" s="14"/>
      <c r="BQ19" s="21"/>
      <c r="BR19" s="21"/>
      <c r="BS19" s="21"/>
    </row>
    <row r="20" spans="2:71" ht="23.25" x14ac:dyDescent="0.25">
      <c r="B20" s="18"/>
      <c r="C20" s="18"/>
      <c r="D20" s="18"/>
      <c r="E20" s="41" t="s">
        <v>79</v>
      </c>
      <c r="G20" s="18"/>
      <c r="AP20" s="20"/>
      <c r="AQ20" s="21"/>
      <c r="BN20" s="21"/>
      <c r="BP20" s="14"/>
    </row>
    <row r="21" spans="2:71" ht="16.5" customHeight="1" x14ac:dyDescent="0.25">
      <c r="B21" s="18"/>
      <c r="C21" s="18"/>
      <c r="D21" s="18"/>
      <c r="E21" s="18"/>
      <c r="F21" s="26"/>
      <c r="G21" s="18"/>
      <c r="AP21" s="20"/>
      <c r="AQ21" s="21"/>
      <c r="BN21" s="21"/>
      <c r="BP21" s="14"/>
    </row>
    <row r="22" spans="2:71" s="15" customFormat="1" x14ac:dyDescent="0.25">
      <c r="B22" s="4"/>
      <c r="C22" s="4"/>
      <c r="D22" s="4"/>
      <c r="E22" s="5" t="s">
        <v>77</v>
      </c>
      <c r="F22" s="39" t="s">
        <v>78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9"/>
      <c r="AP22" s="20"/>
      <c r="AQ22" s="21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4"/>
      <c r="BP22" s="4"/>
      <c r="BQ22" s="4"/>
      <c r="BR22" s="4"/>
      <c r="BS22" s="4"/>
    </row>
    <row r="23" spans="2:71" ht="36.75" customHeight="1" x14ac:dyDescent="0.25">
      <c r="B23" s="36"/>
      <c r="C23" s="24"/>
      <c r="D23" s="54"/>
      <c r="E23" s="35"/>
      <c r="F23" s="35"/>
      <c r="G23" s="102"/>
      <c r="AO23" s="19"/>
      <c r="AP23" s="20"/>
      <c r="AQ23" s="21"/>
      <c r="BN23" s="21"/>
    </row>
    <row r="24" spans="2:71" x14ac:dyDescent="0.25">
      <c r="B24" s="36"/>
      <c r="C24" s="24"/>
      <c r="D24" s="54"/>
      <c r="E24" s="35"/>
      <c r="F24" s="35"/>
      <c r="G24" s="102"/>
      <c r="U24" s="21"/>
      <c r="V24" s="21"/>
      <c r="W24" s="21"/>
      <c r="Y24" s="21"/>
      <c r="AA24" s="21"/>
      <c r="AB24" s="21"/>
      <c r="AD24" s="21"/>
      <c r="AE24" s="21"/>
      <c r="AG24" s="21"/>
      <c r="AH24" s="21"/>
      <c r="AI24" s="21"/>
      <c r="AJ24" s="21"/>
      <c r="AK24" s="21"/>
      <c r="AL24" s="21"/>
      <c r="AM24" s="21"/>
      <c r="AN24" s="21"/>
      <c r="AO24" s="19"/>
      <c r="AP24" s="20"/>
      <c r="AQ24" s="21"/>
      <c r="AR24" s="21"/>
      <c r="AS24" s="21"/>
      <c r="AT24" s="21"/>
      <c r="AU24" s="21"/>
      <c r="AV24" s="21"/>
      <c r="AW24" s="21"/>
      <c r="AX24" s="21"/>
      <c r="AZ24" s="21"/>
      <c r="BA24" s="21"/>
      <c r="BB24" s="21"/>
      <c r="BC24" s="21"/>
      <c r="BD24" s="21"/>
      <c r="BE24" s="21"/>
      <c r="BF24" s="21"/>
      <c r="BG24" s="21"/>
      <c r="BH24" s="21"/>
      <c r="BJ24" s="21"/>
      <c r="BK24" s="21"/>
      <c r="BL24" s="21"/>
      <c r="BM24" s="21"/>
      <c r="BN24" s="21"/>
      <c r="BO24" s="21"/>
      <c r="BP24" s="14"/>
      <c r="BQ24" s="21"/>
      <c r="BR24" s="21"/>
      <c r="BS24" s="21"/>
    </row>
    <row r="25" spans="2:71" s="15" customFormat="1" x14ac:dyDescent="0.25">
      <c r="B25" s="25"/>
      <c r="C25" s="24"/>
      <c r="D25" s="24"/>
      <c r="E25" s="35"/>
      <c r="F25" s="101"/>
      <c r="G25" s="10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2:71" s="15" customFormat="1" x14ac:dyDescent="0.25">
      <c r="B26" s="25"/>
      <c r="C26" s="23"/>
      <c r="D26" s="24"/>
      <c r="E26" s="35"/>
      <c r="F26" s="101"/>
      <c r="G26" s="10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2:71" s="15" customFormat="1" x14ac:dyDescent="0.25">
      <c r="B27" s="21"/>
      <c r="C27" s="21"/>
      <c r="D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2:71" s="15" customFormat="1" x14ac:dyDescent="0.25">
      <c r="B28" s="21"/>
      <c r="C28" s="21"/>
      <c r="D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2:71" s="15" customFormat="1" x14ac:dyDescent="0.25">
      <c r="B29" s="21"/>
      <c r="C29" s="21"/>
      <c r="D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2:71" s="15" customFormat="1" x14ac:dyDescent="0.25">
      <c r="B30" s="21"/>
      <c r="C30" s="21"/>
      <c r="D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2:71" s="15" customFormat="1" x14ac:dyDescent="0.25">
      <c r="B31" s="21"/>
      <c r="C31" s="21"/>
      <c r="D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2:71" s="15" customFormat="1" x14ac:dyDescent="0.25">
      <c r="B32" s="21"/>
      <c r="C32" s="21"/>
      <c r="D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2:71" s="15" customFormat="1" x14ac:dyDescent="0.25">
      <c r="B33" s="21"/>
      <c r="C33" s="21"/>
      <c r="D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2:71" s="15" customFormat="1" x14ac:dyDescent="0.25">
      <c r="B34" s="21"/>
      <c r="C34" s="21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2:71" s="15" customFormat="1" x14ac:dyDescent="0.25">
      <c r="B35" s="21"/>
      <c r="C35" s="21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2:71" s="15" customFormat="1" x14ac:dyDescent="0.25">
      <c r="B36" s="21"/>
      <c r="C36" s="21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s="15" customFormat="1" x14ac:dyDescent="0.25">
      <c r="B37" s="21"/>
      <c r="C37" s="21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s="15" customFormat="1" x14ac:dyDescent="0.25">
      <c r="B38" s="21"/>
      <c r="C38" s="21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s="15" customFormat="1" x14ac:dyDescent="0.25">
      <c r="B39" s="21"/>
      <c r="C39" s="21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15" customFormat="1" x14ac:dyDescent="0.25">
      <c r="B40" s="21"/>
      <c r="C40" s="21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15" customFormat="1" x14ac:dyDescent="0.25">
      <c r="B41" s="21"/>
      <c r="C41" s="21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15" customFormat="1" x14ac:dyDescent="0.25">
      <c r="B42" s="21"/>
      <c r="C42" s="21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15" customFormat="1" x14ac:dyDescent="0.25">
      <c r="B43" s="21"/>
      <c r="C43" s="2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15" customFormat="1" x14ac:dyDescent="0.25">
      <c r="B44" s="21"/>
      <c r="C44" s="2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15" customFormat="1" x14ac:dyDescent="0.25">
      <c r="B45" s="21"/>
      <c r="C45" s="2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15" customFormat="1" x14ac:dyDescent="0.25">
      <c r="B46" s="21"/>
      <c r="C46" s="2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s="15" customFormat="1" x14ac:dyDescent="0.25">
      <c r="B47" s="21"/>
      <c r="C47" s="2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15" customFormat="1" x14ac:dyDescent="0.25">
      <c r="B48" s="21"/>
      <c r="C48" s="2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s="15" customFormat="1" x14ac:dyDescent="0.25">
      <c r="B49" s="21"/>
      <c r="C49" s="2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s="15" customFormat="1" x14ac:dyDescent="0.25">
      <c r="B50" s="21"/>
      <c r="C50" s="2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s="15" customFormat="1" x14ac:dyDescent="0.25">
      <c r="B51" s="21"/>
      <c r="C51" s="2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s="15" customFormat="1" x14ac:dyDescent="0.25">
      <c r="B52" s="21"/>
      <c r="C52" s="2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s="15" customFormat="1" x14ac:dyDescent="0.25">
      <c r="B53" s="21"/>
      <c r="C53" s="2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s="15" customFormat="1" x14ac:dyDescent="0.25">
      <c r="B54" s="21"/>
      <c r="C54" s="2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s="15" customFormat="1" x14ac:dyDescent="0.25">
      <c r="B55" s="21"/>
      <c r="C55" s="2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s="15" customFormat="1" x14ac:dyDescent="0.25">
      <c r="B56" s="21"/>
      <c r="C56" s="2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5" customFormat="1" x14ac:dyDescent="0.25">
      <c r="B57" s="21"/>
      <c r="C57" s="2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s="15" customFormat="1" x14ac:dyDescent="0.25">
      <c r="B58" s="21"/>
      <c r="C58" s="2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s="15" customFormat="1" x14ac:dyDescent="0.25">
      <c r="B59" s="21"/>
      <c r="C59" s="2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s="15" customFormat="1" x14ac:dyDescent="0.25">
      <c r="B60" s="21"/>
      <c r="C60" s="2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s="15" customFormat="1" x14ac:dyDescent="0.25">
      <c r="B61" s="21"/>
      <c r="C61" s="2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s="15" customFormat="1" x14ac:dyDescent="0.25">
      <c r="B62" s="21"/>
      <c r="C62" s="2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s="15" customFormat="1" x14ac:dyDescent="0.25">
      <c r="B63" s="21"/>
      <c r="C63" s="2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s="15" customFormat="1" x14ac:dyDescent="0.25">
      <c r="B64" s="21"/>
      <c r="C64" s="2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2:71" s="15" customFormat="1" x14ac:dyDescent="0.25">
      <c r="B65" s="21"/>
      <c r="C65" s="2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2:71" s="15" customFormat="1" x14ac:dyDescent="0.25">
      <c r="B66" s="21"/>
      <c r="C66" s="2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2:71" s="15" customFormat="1" x14ac:dyDescent="0.25">
      <c r="B67" s="21"/>
      <c r="C67" s="2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2:71" s="15" customFormat="1" x14ac:dyDescent="0.25">
      <c r="B68" s="21"/>
      <c r="C68" s="2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2:71" s="15" customFormat="1" x14ac:dyDescent="0.25">
      <c r="B69" s="21"/>
      <c r="C69" s="2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2:71" s="15" customFormat="1" x14ac:dyDescent="0.25">
      <c r="B70" s="21"/>
      <c r="C70" s="2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2:71" s="15" customFormat="1" x14ac:dyDescent="0.25">
      <c r="B71" s="21"/>
      <c r="C71" s="2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71" s="15" customFormat="1" x14ac:dyDescent="0.25">
      <c r="B72" s="21"/>
      <c r="C72" s="2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2:71" s="15" customFormat="1" x14ac:dyDescent="0.25">
      <c r="B73" s="21"/>
      <c r="C73" s="2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2:71" s="15" customFormat="1" x14ac:dyDescent="0.25">
      <c r="B74" s="21"/>
      <c r="C74" s="2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2:71" s="15" customFormat="1" x14ac:dyDescent="0.25">
      <c r="B75" s="21"/>
      <c r="C75" s="2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2:71" s="15" customFormat="1" x14ac:dyDescent="0.25">
      <c r="B76" s="21"/>
      <c r="C76" s="2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2:71" s="15" customFormat="1" x14ac:dyDescent="0.25">
      <c r="B77" s="21"/>
      <c r="C77" s="2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2:71" s="15" customFormat="1" x14ac:dyDescent="0.25">
      <c r="B78" s="21"/>
      <c r="C78" s="2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2:71" s="15" customFormat="1" x14ac:dyDescent="0.25">
      <c r="B79" s="21"/>
      <c r="C79" s="2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2:71" s="15" customFormat="1" x14ac:dyDescent="0.25">
      <c r="B80" s="21"/>
      <c r="C80" s="2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2:71" s="15" customFormat="1" x14ac:dyDescent="0.25">
      <c r="B81" s="21"/>
      <c r="C81" s="2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2:71" s="15" customFormat="1" x14ac:dyDescent="0.25">
      <c r="B82" s="21"/>
      <c r="C82" s="2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2:71" s="15" customFormat="1" x14ac:dyDescent="0.25">
      <c r="B83" s="21"/>
      <c r="C83" s="2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2:71" s="15" customFormat="1" x14ac:dyDescent="0.25">
      <c r="B84" s="21"/>
      <c r="C84" s="2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2:71" s="15" customFormat="1" x14ac:dyDescent="0.25">
      <c r="B85" s="21"/>
      <c r="C85" s="2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2:71" s="15" customFormat="1" x14ac:dyDescent="0.25">
      <c r="B86" s="21"/>
      <c r="C86" s="2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2:71" s="15" customFormat="1" x14ac:dyDescent="0.25">
      <c r="B87" s="21"/>
      <c r="C87" s="2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2:71" s="15" customFormat="1" x14ac:dyDescent="0.25">
      <c r="B88" s="21"/>
      <c r="C88" s="2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2:71" s="15" customFormat="1" x14ac:dyDescent="0.25">
      <c r="B89" s="21"/>
      <c r="C89" s="2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2:71" s="15" customFormat="1" x14ac:dyDescent="0.25">
      <c r="B90" s="21"/>
      <c r="C90" s="2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2:71" s="15" customFormat="1" x14ac:dyDescent="0.25">
      <c r="B91" s="21"/>
      <c r="C91" s="2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2:71" s="15" customFormat="1" x14ac:dyDescent="0.25">
      <c r="B92" s="21"/>
      <c r="C92" s="2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2:71" s="15" customFormat="1" x14ac:dyDescent="0.25">
      <c r="B93" s="21"/>
      <c r="C93" s="2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2:71" s="15" customFormat="1" x14ac:dyDescent="0.25">
      <c r="B94" s="21"/>
      <c r="C94" s="2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2:71" s="15" customFormat="1" x14ac:dyDescent="0.25">
      <c r="B95" s="21"/>
      <c r="C95" s="2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2:71" s="15" customFormat="1" x14ac:dyDescent="0.25">
      <c r="B96" s="21"/>
      <c r="C96" s="2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2:71" s="15" customFormat="1" x14ac:dyDescent="0.25">
      <c r="B97" s="21"/>
      <c r="C97" s="2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2:71" s="15" customFormat="1" x14ac:dyDescent="0.25">
      <c r="B98" s="21"/>
      <c r="C98" s="2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2:71" s="15" customFormat="1" x14ac:dyDescent="0.25">
      <c r="B99" s="21"/>
      <c r="C99" s="2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2:71" s="15" customFormat="1" x14ac:dyDescent="0.25">
      <c r="B100" s="21"/>
      <c r="C100" s="2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2:71" s="15" customFormat="1" x14ac:dyDescent="0.25">
      <c r="B101" s="21"/>
      <c r="C101" s="2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2:71" s="15" customFormat="1" x14ac:dyDescent="0.25">
      <c r="B102" s="21"/>
      <c r="C102" s="2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2:71" s="15" customFormat="1" x14ac:dyDescent="0.25">
      <c r="B103" s="21"/>
      <c r="C103" s="2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2:71" s="15" customFormat="1" x14ac:dyDescent="0.25">
      <c r="B104" s="21"/>
      <c r="C104" s="2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2:71" s="15" customFormat="1" x14ac:dyDescent="0.25">
      <c r="B105" s="21"/>
      <c r="C105" s="2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2:71" s="15" customFormat="1" x14ac:dyDescent="0.25">
      <c r="B106" s="21"/>
      <c r="C106" s="2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2:71" s="15" customFormat="1" x14ac:dyDescent="0.25">
      <c r="B107" s="21"/>
      <c r="C107" s="2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2:71" s="15" customFormat="1" x14ac:dyDescent="0.25">
      <c r="B108" s="21"/>
      <c r="C108" s="2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2:71" s="15" customFormat="1" x14ac:dyDescent="0.25">
      <c r="B109" s="21"/>
      <c r="C109" s="2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2:71" s="15" customFormat="1" x14ac:dyDescent="0.25">
      <c r="B110" s="21"/>
      <c r="C110" s="2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2:71" s="15" customFormat="1" x14ac:dyDescent="0.25">
      <c r="B111" s="21"/>
      <c r="C111" s="2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2:71" s="15" customFormat="1" x14ac:dyDescent="0.25">
      <c r="B112" s="21"/>
      <c r="C112" s="2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s="15" customFormat="1" x14ac:dyDescent="0.25">
      <c r="B113" s="21"/>
      <c r="C113" s="2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s="15" customFormat="1" x14ac:dyDescent="0.25">
      <c r="B114" s="21"/>
      <c r="C114" s="2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s="15" customFormat="1" x14ac:dyDescent="0.25">
      <c r="B115" s="21"/>
      <c r="C115" s="2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s="15" customFormat="1" x14ac:dyDescent="0.25">
      <c r="B116" s="21"/>
      <c r="C116" s="2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s="15" customFormat="1" x14ac:dyDescent="0.25">
      <c r="B117" s="21"/>
      <c r="C117" s="2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s="15" customFormat="1" x14ac:dyDescent="0.25">
      <c r="B118" s="21"/>
      <c r="C118" s="2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s="15" customFormat="1" x14ac:dyDescent="0.25">
      <c r="B119" s="21"/>
      <c r="C119" s="2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s="15" customFormat="1" x14ac:dyDescent="0.25">
      <c r="B120" s="21"/>
      <c r="C120" s="2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s="15" customFormat="1" x14ac:dyDescent="0.25">
      <c r="B121" s="21"/>
      <c r="C121" s="2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s="15" customFormat="1" x14ac:dyDescent="0.25">
      <c r="B122" s="21"/>
      <c r="C122" s="2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s="15" customFormat="1" x14ac:dyDescent="0.25">
      <c r="B123" s="21"/>
      <c r="C123" s="2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s="15" customFormat="1" x14ac:dyDescent="0.25">
      <c r="B124" s="21"/>
      <c r="C124" s="2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s="15" customFormat="1" x14ac:dyDescent="0.25">
      <c r="B125" s="21"/>
      <c r="C125" s="2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s="15" customFormat="1" x14ac:dyDescent="0.25">
      <c r="B126" s="21"/>
      <c r="C126" s="2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s="15" customFormat="1" x14ac:dyDescent="0.25">
      <c r="B127" s="21"/>
      <c r="C127" s="2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s="15" customFormat="1" x14ac:dyDescent="0.25">
      <c r="B128" s="21"/>
      <c r="C128" s="2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s="15" customFormat="1" x14ac:dyDescent="0.25">
      <c r="B129" s="21"/>
      <c r="C129" s="2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</sheetData>
  <mergeCells count="9">
    <mergeCell ref="BI4:BP4"/>
    <mergeCell ref="AY6:BB6"/>
    <mergeCell ref="AY7:BC7"/>
    <mergeCell ref="T4:AN4"/>
    <mergeCell ref="AO4:AP4"/>
    <mergeCell ref="AQ4:AR4"/>
    <mergeCell ref="AS4:AX4"/>
    <mergeCell ref="AY4:BC4"/>
    <mergeCell ref="BD4:BH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BS12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ColWidth="9.140625" defaultRowHeight="15" x14ac:dyDescent="0.25"/>
  <cols>
    <col min="1" max="1" width="10.28515625" style="4" hidden="1" customWidth="1"/>
    <col min="2" max="2" width="12.28515625" style="21" bestFit="1" customWidth="1"/>
    <col min="3" max="3" width="8.7109375" style="21" bestFit="1" customWidth="1"/>
    <col min="4" max="4" width="29" style="4" customWidth="1"/>
    <col min="5" max="5" width="51" style="1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9.140625" style="4" customWidth="1"/>
    <col min="43" max="43" width="14.85546875" style="4" customWidth="1"/>
    <col min="44" max="44" width="17.140625" style="4" customWidth="1"/>
    <col min="45" max="45" width="11.5703125" style="4" bestFit="1" customWidth="1"/>
    <col min="46" max="46" width="11.140625" style="4" bestFit="1" customWidth="1"/>
    <col min="47" max="47" width="11.42578125" style="4" bestFit="1" customWidth="1"/>
    <col min="48" max="48" width="8.28515625" style="4" bestFit="1" customWidth="1"/>
    <col min="49" max="49" width="11.42578125" style="4" bestFit="1" customWidth="1"/>
    <col min="50" max="50" width="8.85546875" style="4" bestFit="1" customWidth="1"/>
    <col min="51" max="51" width="7" style="4" bestFit="1" customWidth="1"/>
    <col min="52" max="52" width="17.85546875" style="4" customWidth="1"/>
    <col min="53" max="53" width="6.85546875" style="4" bestFit="1" customWidth="1"/>
    <col min="54" max="54" width="6.7109375" style="4" customWidth="1"/>
    <col min="55" max="55" width="7.5703125" style="4" bestFit="1" customWidth="1"/>
    <col min="56" max="56" width="7" style="4" bestFit="1" customWidth="1"/>
    <col min="57" max="57" width="20.140625" style="4" bestFit="1" customWidth="1"/>
    <col min="58" max="58" width="6.85546875" style="4" bestFit="1" customWidth="1"/>
    <col min="59" max="59" width="5.5703125" style="4" bestFit="1" customWidth="1"/>
    <col min="60" max="60" width="7.5703125" style="4" bestFit="1" customWidth="1"/>
    <col min="61" max="61" width="17.85546875" style="4" customWidth="1"/>
    <col min="62" max="62" width="10.42578125" style="4" bestFit="1" customWidth="1"/>
    <col min="63" max="63" width="12" style="4" bestFit="1" customWidth="1"/>
    <col min="64" max="65" width="14.42578125" style="4" bestFit="1" customWidth="1"/>
    <col min="66" max="66" width="13.28515625" style="4" bestFit="1" customWidth="1"/>
    <col min="67" max="67" width="16.28515625" style="4" bestFit="1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16384" width="9.140625" style="4"/>
  </cols>
  <sheetData>
    <row r="2" spans="1:71" ht="23.25" x14ac:dyDescent="0.25">
      <c r="E2" s="2" t="s">
        <v>81</v>
      </c>
      <c r="G2" s="2"/>
      <c r="H2" s="3"/>
    </row>
    <row r="3" spans="1:71" ht="20.25" x14ac:dyDescent="0.25">
      <c r="E3" s="55">
        <v>41960</v>
      </c>
    </row>
    <row r="4" spans="1:71" ht="15.75" customHeight="1" x14ac:dyDescent="0.25">
      <c r="D4" s="16" t="s">
        <v>17</v>
      </c>
      <c r="F4" s="65"/>
      <c r="G4" s="65"/>
      <c r="H4" s="66" t="s">
        <v>15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09" t="s">
        <v>16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10" t="s">
        <v>85</v>
      </c>
      <c r="AP4" s="210"/>
      <c r="AQ4" s="211" t="s">
        <v>19</v>
      </c>
      <c r="AR4" s="211"/>
      <c r="AS4" s="212" t="s">
        <v>91</v>
      </c>
      <c r="AT4" s="212"/>
      <c r="AU4" s="212"/>
      <c r="AV4" s="212"/>
      <c r="AW4" s="212"/>
      <c r="AX4" s="212"/>
      <c r="AY4" s="213" t="s">
        <v>22</v>
      </c>
      <c r="AZ4" s="213"/>
      <c r="BA4" s="213"/>
      <c r="BB4" s="213"/>
      <c r="BC4" s="213"/>
      <c r="BD4" s="208" t="s">
        <v>28</v>
      </c>
      <c r="BE4" s="208"/>
      <c r="BF4" s="208"/>
      <c r="BG4" s="208"/>
      <c r="BH4" s="208"/>
      <c r="BI4" s="207" t="s">
        <v>34</v>
      </c>
      <c r="BJ4" s="207"/>
      <c r="BK4" s="207"/>
      <c r="BL4" s="207"/>
      <c r="BM4" s="207"/>
      <c r="BN4" s="207"/>
      <c r="BO4" s="207"/>
      <c r="BP4" s="207"/>
    </row>
    <row r="5" spans="1:71" x14ac:dyDescent="0.25">
      <c r="B5" s="17" t="s">
        <v>0</v>
      </c>
      <c r="C5" s="22" t="s">
        <v>83</v>
      </c>
      <c r="D5" s="17" t="s">
        <v>2</v>
      </c>
      <c r="E5" s="5" t="s">
        <v>1</v>
      </c>
      <c r="F5" s="6" t="s">
        <v>3</v>
      </c>
      <c r="G5" s="6" t="s">
        <v>7</v>
      </c>
      <c r="H5" s="6" t="s">
        <v>4</v>
      </c>
      <c r="I5" s="6" t="s">
        <v>6</v>
      </c>
      <c r="J5" s="6" t="s">
        <v>5</v>
      </c>
      <c r="K5" s="6" t="s">
        <v>56</v>
      </c>
      <c r="L5" s="6" t="s">
        <v>54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80</v>
      </c>
      <c r="S5" s="6" t="s">
        <v>61</v>
      </c>
      <c r="T5" s="7" t="s">
        <v>8</v>
      </c>
      <c r="U5" s="7" t="s">
        <v>47</v>
      </c>
      <c r="V5" s="7" t="s">
        <v>9</v>
      </c>
      <c r="W5" s="7" t="s">
        <v>36</v>
      </c>
      <c r="X5" s="7" t="s">
        <v>10</v>
      </c>
      <c r="Y5" s="7" t="s">
        <v>48</v>
      </c>
      <c r="Z5" s="7" t="s">
        <v>11</v>
      </c>
      <c r="AA5" s="7" t="s">
        <v>53</v>
      </c>
      <c r="AB5" s="7" t="s">
        <v>12</v>
      </c>
      <c r="AC5" s="7" t="s">
        <v>52</v>
      </c>
      <c r="AD5" s="7" t="s">
        <v>49</v>
      </c>
      <c r="AE5" s="7" t="s">
        <v>14</v>
      </c>
      <c r="AF5" s="7" t="s">
        <v>37</v>
      </c>
      <c r="AG5" s="7" t="s">
        <v>50</v>
      </c>
      <c r="AH5" s="7" t="s">
        <v>51</v>
      </c>
      <c r="AI5" s="7" t="s">
        <v>46</v>
      </c>
      <c r="AJ5" s="7" t="s">
        <v>38</v>
      </c>
      <c r="AK5" s="7" t="s">
        <v>86</v>
      </c>
      <c r="AL5" s="7" t="s">
        <v>39</v>
      </c>
      <c r="AM5" s="7" t="s">
        <v>40</v>
      </c>
      <c r="AN5" s="7" t="s">
        <v>13</v>
      </c>
      <c r="AO5" s="11" t="s">
        <v>20</v>
      </c>
      <c r="AP5" s="11" t="s">
        <v>21</v>
      </c>
      <c r="AQ5" s="8" t="s">
        <v>18</v>
      </c>
      <c r="AR5" s="8" t="s">
        <v>55</v>
      </c>
      <c r="AS5" s="70" t="s">
        <v>23</v>
      </c>
      <c r="AT5" s="70" t="s">
        <v>24</v>
      </c>
      <c r="AU5" s="70" t="s">
        <v>25</v>
      </c>
      <c r="AV5" s="70" t="s">
        <v>92</v>
      </c>
      <c r="AW5" s="70" t="s">
        <v>25</v>
      </c>
      <c r="AX5" s="70" t="s">
        <v>93</v>
      </c>
      <c r="AY5" s="9" t="s">
        <v>23</v>
      </c>
      <c r="AZ5" s="9" t="s">
        <v>24</v>
      </c>
      <c r="BA5" s="9" t="s">
        <v>25</v>
      </c>
      <c r="BB5" s="9" t="s">
        <v>26</v>
      </c>
      <c r="BC5" s="9" t="s">
        <v>27</v>
      </c>
      <c r="BD5" s="10" t="s">
        <v>23</v>
      </c>
      <c r="BE5" s="10" t="s">
        <v>24</v>
      </c>
      <c r="BF5" s="10" t="s">
        <v>25</v>
      </c>
      <c r="BG5" s="10" t="s">
        <v>26</v>
      </c>
      <c r="BH5" s="10" t="s">
        <v>27</v>
      </c>
      <c r="BI5" s="11" t="s">
        <v>45</v>
      </c>
      <c r="BJ5" s="12" t="s">
        <v>29</v>
      </c>
      <c r="BK5" s="12" t="s">
        <v>30</v>
      </c>
      <c r="BL5" s="12" t="s">
        <v>31</v>
      </c>
      <c r="BM5" s="12" t="s">
        <v>32</v>
      </c>
      <c r="BN5" s="12" t="s">
        <v>33</v>
      </c>
      <c r="BO5" s="12" t="s">
        <v>35</v>
      </c>
      <c r="BP5" s="12" t="s">
        <v>44</v>
      </c>
      <c r="BQ5" s="12" t="s">
        <v>41</v>
      </c>
      <c r="BR5" s="12" t="s">
        <v>42</v>
      </c>
      <c r="BS5" s="12" t="s">
        <v>43</v>
      </c>
    </row>
    <row r="6" spans="1:71" s="1" customFormat="1" ht="30" x14ac:dyDescent="0.25">
      <c r="A6" s="103">
        <v>41957</v>
      </c>
      <c r="B6" s="63" t="s">
        <v>121</v>
      </c>
      <c r="C6" s="73" t="s">
        <v>73</v>
      </c>
      <c r="D6" s="73" t="s">
        <v>94</v>
      </c>
      <c r="E6" s="56" t="s">
        <v>127</v>
      </c>
      <c r="F6" s="35" t="s">
        <v>123</v>
      </c>
      <c r="G6" s="78" t="s">
        <v>122</v>
      </c>
      <c r="H6" s="35" t="s">
        <v>124</v>
      </c>
      <c r="I6" s="35">
        <v>9210280007</v>
      </c>
      <c r="J6" s="44" t="s">
        <v>125</v>
      </c>
      <c r="K6" s="45" t="s">
        <v>126</v>
      </c>
      <c r="L6" s="45" t="s">
        <v>63</v>
      </c>
      <c r="M6" s="45">
        <v>76086226</v>
      </c>
      <c r="N6" s="69"/>
      <c r="O6" s="69"/>
      <c r="P6" s="69"/>
      <c r="Q6" s="69"/>
      <c r="R6" s="69"/>
      <c r="S6" s="69"/>
      <c r="T6" s="98" t="s">
        <v>128</v>
      </c>
      <c r="U6" s="68"/>
      <c r="V6" s="44"/>
      <c r="W6" s="68"/>
      <c r="X6" s="98" t="s">
        <v>129</v>
      </c>
      <c r="Y6" s="68"/>
      <c r="Z6" s="98" t="s">
        <v>130</v>
      </c>
      <c r="AA6" s="44"/>
      <c r="AB6" s="57"/>
      <c r="AC6" s="57"/>
      <c r="AD6" s="57"/>
      <c r="AE6" s="57"/>
      <c r="AF6" s="35"/>
      <c r="AG6" s="57"/>
      <c r="AH6" s="57"/>
      <c r="AI6" s="43"/>
      <c r="AJ6" s="57"/>
      <c r="AK6" s="57"/>
      <c r="AL6" s="57"/>
      <c r="AM6" s="57"/>
      <c r="AN6" s="98" t="s">
        <v>131</v>
      </c>
      <c r="AO6" s="58">
        <v>99.85</v>
      </c>
      <c r="AP6" s="42">
        <f>AO6/0.444</f>
        <v>224.88738738738738</v>
      </c>
      <c r="AQ6" s="95" t="s">
        <v>132</v>
      </c>
      <c r="AR6" s="96">
        <v>10038568737981</v>
      </c>
      <c r="AS6" s="77"/>
      <c r="AT6" s="77"/>
      <c r="AU6" s="77"/>
      <c r="AV6" s="83">
        <v>3.75</v>
      </c>
      <c r="AW6" s="83">
        <v>7.21</v>
      </c>
      <c r="AX6" s="84"/>
      <c r="AY6" s="76">
        <f>4.1875+(0.0625*2)</f>
        <v>4.3125</v>
      </c>
      <c r="AZ6" s="76">
        <f>4.1875+(0.0625*2)</f>
        <v>4.3125</v>
      </c>
      <c r="BA6" s="76">
        <f>7.625+(0.0625*4)</f>
        <v>7.875</v>
      </c>
      <c r="BB6" s="83">
        <f t="shared" ref="BB6" si="0">(BA6*AZ6*AY6)/1728</f>
        <v>8.475494384765625E-2</v>
      </c>
      <c r="BC6" s="76">
        <f>2.35+0.1</f>
        <v>2.4500000000000002</v>
      </c>
      <c r="BD6" s="85">
        <f>13.375+(0.125*2)</f>
        <v>13.625</v>
      </c>
      <c r="BE6" s="85">
        <f>8.9475+(0.125*2)</f>
        <v>9.1974999999999998</v>
      </c>
      <c r="BF6" s="85">
        <f>8.125+(0.125*4)</f>
        <v>8.625</v>
      </c>
      <c r="BG6" s="83">
        <f t="shared" ref="BG6" si="1">(BF6*BE6*BD6)/1728</f>
        <v>0.6254918755425346</v>
      </c>
      <c r="BH6" s="85">
        <f>(BC6*6)+0.25</f>
        <v>14.950000000000001</v>
      </c>
      <c r="BI6" s="99" t="s">
        <v>68</v>
      </c>
      <c r="BJ6" s="99">
        <v>6</v>
      </c>
      <c r="BK6" s="99">
        <v>13</v>
      </c>
      <c r="BL6" s="99">
        <v>5</v>
      </c>
      <c r="BM6" s="100">
        <f t="shared" ref="BM6" si="2">BJ6*BK6*BL6</f>
        <v>390</v>
      </c>
      <c r="BN6" s="100">
        <f t="shared" ref="BN6" si="3">(BH6*BK6*BL6)+50</f>
        <v>1021.7500000000001</v>
      </c>
      <c r="BO6" s="100" t="s">
        <v>62</v>
      </c>
      <c r="BP6" s="100" t="s">
        <v>67</v>
      </c>
      <c r="BQ6" s="71"/>
      <c r="BR6" s="71"/>
      <c r="BS6" s="71"/>
    </row>
    <row r="7" spans="1:71" s="1" customFormat="1" ht="15" customHeight="1" x14ac:dyDescent="0.25">
      <c r="A7" s="92"/>
      <c r="B7" s="59"/>
      <c r="C7" s="73"/>
      <c r="D7" s="73"/>
      <c r="E7" s="47"/>
      <c r="F7" s="46"/>
      <c r="G7" s="35"/>
      <c r="H7" s="57"/>
      <c r="I7" s="57"/>
      <c r="J7" s="44"/>
      <c r="K7" s="45"/>
      <c r="L7" s="69"/>
      <c r="M7" s="69"/>
      <c r="N7" s="69"/>
      <c r="O7" s="69"/>
      <c r="P7" s="69"/>
      <c r="Q7" s="69"/>
      <c r="R7" s="69"/>
      <c r="S7" s="69"/>
      <c r="T7" s="44"/>
      <c r="U7" s="68"/>
      <c r="V7" s="44"/>
      <c r="W7" s="68"/>
      <c r="X7" s="44"/>
      <c r="Y7" s="68"/>
      <c r="Z7" s="44"/>
      <c r="AA7" s="44"/>
      <c r="AB7" s="57"/>
      <c r="AC7" s="57"/>
      <c r="AD7" s="57"/>
      <c r="AE7" s="57"/>
      <c r="AF7" s="57"/>
      <c r="AG7" s="57"/>
      <c r="AH7" s="57"/>
      <c r="AI7" s="43"/>
      <c r="AJ7" s="57"/>
      <c r="AK7" s="57"/>
      <c r="AL7" s="57"/>
      <c r="AM7" s="57"/>
      <c r="AN7" s="44"/>
      <c r="AO7" s="58"/>
      <c r="AP7" s="42"/>
      <c r="AQ7" s="48"/>
      <c r="AR7" s="48"/>
      <c r="AS7" s="48"/>
      <c r="AT7" s="48"/>
      <c r="AU7" s="48"/>
      <c r="AV7" s="51"/>
      <c r="AW7" s="51"/>
      <c r="AX7" s="48"/>
      <c r="AY7" s="222"/>
      <c r="AZ7" s="223"/>
      <c r="BA7" s="223"/>
      <c r="BB7" s="223"/>
      <c r="BC7" s="224"/>
      <c r="BD7" s="76"/>
      <c r="BE7" s="76"/>
      <c r="BF7" s="76"/>
      <c r="BG7" s="104"/>
      <c r="BH7" s="53"/>
      <c r="BI7" s="60"/>
      <c r="BJ7" s="53"/>
      <c r="BK7" s="53"/>
      <c r="BL7" s="53"/>
      <c r="BM7" s="49"/>
      <c r="BN7" s="49"/>
      <c r="BO7" s="49"/>
      <c r="BP7" s="49"/>
      <c r="BQ7" s="71"/>
      <c r="BR7" s="71"/>
      <c r="BS7" s="71"/>
    </row>
    <row r="8" spans="1:71" s="21" customFormat="1" x14ac:dyDescent="0.25">
      <c r="B8" s="18"/>
      <c r="C8" s="18"/>
      <c r="D8" s="18"/>
      <c r="E8" s="18"/>
      <c r="F8" s="18"/>
      <c r="G8" s="14"/>
      <c r="H8" s="4"/>
      <c r="I8" s="4"/>
      <c r="J8" s="4"/>
      <c r="T8" s="4"/>
      <c r="Z8" s="4"/>
      <c r="AA8" s="4"/>
      <c r="AO8" s="19"/>
      <c r="AP8" s="20"/>
      <c r="AQ8" s="4"/>
      <c r="AY8" s="13"/>
      <c r="AZ8" s="13"/>
      <c r="BA8" s="13"/>
      <c r="BB8" s="4"/>
      <c r="BC8" s="13"/>
      <c r="BD8" s="13"/>
      <c r="BE8" s="13"/>
      <c r="BF8" s="13"/>
      <c r="BG8" s="4"/>
      <c r="BH8" s="13"/>
      <c r="BI8" s="4"/>
      <c r="BJ8" s="4"/>
      <c r="BO8" s="4"/>
      <c r="BP8" s="14"/>
    </row>
    <row r="9" spans="1:71" ht="7.5" customHeight="1" x14ac:dyDescent="0.25">
      <c r="B9" s="28"/>
      <c r="C9" s="28"/>
      <c r="D9" s="28"/>
      <c r="E9" s="28"/>
      <c r="F9" s="28"/>
      <c r="G9" s="28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9"/>
      <c r="U9" s="30"/>
      <c r="V9" s="30"/>
      <c r="W9" s="30"/>
      <c r="X9" s="30"/>
      <c r="Y9" s="30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32"/>
      <c r="AQ9" s="29"/>
      <c r="AR9" s="30"/>
      <c r="AS9" s="30"/>
      <c r="AT9" s="30"/>
      <c r="AU9" s="30"/>
      <c r="AV9" s="30"/>
      <c r="AW9" s="30"/>
      <c r="AX9" s="30"/>
      <c r="AY9" s="33"/>
      <c r="AZ9" s="33"/>
      <c r="BA9" s="33"/>
      <c r="BB9" s="29"/>
      <c r="BC9" s="33"/>
      <c r="BD9" s="33"/>
      <c r="BE9" s="33"/>
      <c r="BF9" s="33"/>
      <c r="BG9" s="29"/>
      <c r="BH9" s="33"/>
      <c r="BI9" s="29"/>
      <c r="BJ9" s="29"/>
      <c r="BK9" s="30"/>
      <c r="BL9" s="30"/>
      <c r="BM9" s="30"/>
      <c r="BN9" s="30"/>
      <c r="BO9" s="29"/>
      <c r="BP9" s="34"/>
      <c r="BQ9" s="30"/>
      <c r="BR9" s="21"/>
      <c r="BS9" s="21"/>
    </row>
    <row r="10" spans="1:71" ht="7.5" customHeight="1" x14ac:dyDescent="0.25">
      <c r="B10" s="18"/>
      <c r="C10" s="18"/>
      <c r="D10" s="18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U10" s="21"/>
      <c r="V10" s="21"/>
      <c r="W10" s="21"/>
      <c r="X10" s="21"/>
      <c r="Y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9"/>
      <c r="AP10" s="20"/>
      <c r="AR10" s="21"/>
      <c r="AS10" s="21"/>
      <c r="AT10" s="21"/>
      <c r="AU10" s="21"/>
      <c r="AV10" s="21"/>
      <c r="AW10" s="21"/>
      <c r="AX10" s="21"/>
      <c r="AY10" s="13"/>
      <c r="AZ10" s="13"/>
      <c r="BA10" s="13"/>
      <c r="BC10" s="13"/>
      <c r="BD10" s="13"/>
      <c r="BE10" s="13"/>
      <c r="BF10" s="13"/>
      <c r="BH10" s="13"/>
      <c r="BK10" s="21"/>
      <c r="BL10" s="21"/>
      <c r="BM10" s="21"/>
      <c r="BN10" s="21"/>
      <c r="BP10" s="14"/>
      <c r="BQ10" s="21"/>
      <c r="BR10" s="21"/>
      <c r="BS10" s="21"/>
    </row>
    <row r="11" spans="1:71" ht="23.25" x14ac:dyDescent="0.25">
      <c r="B11" s="18"/>
      <c r="C11" s="18"/>
      <c r="D11" s="18"/>
      <c r="E11" s="27" t="s">
        <v>74</v>
      </c>
      <c r="G11" s="18"/>
      <c r="U11" s="21"/>
      <c r="V11" s="21"/>
      <c r="W11" s="21"/>
      <c r="Y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9"/>
      <c r="AP11" s="20"/>
      <c r="AR11" s="21"/>
      <c r="AS11" s="21"/>
      <c r="AT11" s="21"/>
      <c r="AU11" s="21"/>
      <c r="AV11" s="21"/>
      <c r="AW11" s="21"/>
      <c r="AX11" s="21"/>
      <c r="AY11" s="13"/>
      <c r="AZ11" s="13"/>
      <c r="BA11" s="13"/>
      <c r="BC11" s="13"/>
      <c r="BD11" s="13"/>
      <c r="BE11" s="13"/>
      <c r="BF11" s="13"/>
      <c r="BH11" s="13"/>
      <c r="BK11" s="21"/>
      <c r="BL11" s="21"/>
      <c r="BM11" s="21"/>
      <c r="BN11" s="21"/>
      <c r="BP11" s="14"/>
      <c r="BQ11" s="21"/>
      <c r="BR11" s="21"/>
      <c r="BS11" s="21"/>
    </row>
    <row r="12" spans="1:71" s="21" customFormat="1" x14ac:dyDescent="0.25">
      <c r="B12" s="18"/>
      <c r="C12" s="18"/>
      <c r="D12" s="18"/>
      <c r="E12" s="18"/>
      <c r="F12" s="18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9"/>
      <c r="AP12" s="20"/>
      <c r="AQ12" s="4"/>
      <c r="AR12" s="4"/>
      <c r="AS12" s="4"/>
      <c r="AT12" s="4"/>
      <c r="AU12" s="4"/>
      <c r="AV12" s="4"/>
      <c r="AW12" s="4"/>
      <c r="AX12" s="4"/>
      <c r="AY12" s="13"/>
      <c r="AZ12" s="13"/>
      <c r="BA12" s="13"/>
      <c r="BB12" s="4"/>
      <c r="BC12" s="13"/>
      <c r="BD12" s="13"/>
      <c r="BE12" s="13"/>
      <c r="BF12" s="13"/>
      <c r="BG12" s="4"/>
      <c r="BH12" s="13"/>
      <c r="BI12" s="4"/>
      <c r="BJ12" s="4"/>
      <c r="BK12" s="4"/>
      <c r="BL12" s="4"/>
      <c r="BO12" s="4"/>
      <c r="BP12" s="14"/>
      <c r="BQ12" s="4"/>
      <c r="BR12" s="4"/>
      <c r="BS12" s="4"/>
    </row>
    <row r="13" spans="1:71" x14ac:dyDescent="0.25">
      <c r="B13" s="18"/>
      <c r="C13" s="18"/>
      <c r="D13" s="18"/>
      <c r="E13" s="5" t="s">
        <v>75</v>
      </c>
      <c r="F13" s="7" t="s">
        <v>87</v>
      </c>
      <c r="G13" s="7" t="s">
        <v>76</v>
      </c>
      <c r="AO13" s="19"/>
      <c r="AP13" s="20"/>
      <c r="AY13" s="13"/>
      <c r="AZ13" s="13"/>
      <c r="BA13" s="13"/>
      <c r="BC13" s="13"/>
      <c r="BD13" s="13"/>
      <c r="BE13" s="13"/>
      <c r="BF13" s="13"/>
      <c r="BH13" s="13"/>
      <c r="BM13" s="21"/>
      <c r="BN13" s="21"/>
      <c r="BP13" s="14"/>
    </row>
    <row r="14" spans="1:71" x14ac:dyDescent="0.25">
      <c r="A14" s="92"/>
      <c r="B14" s="90"/>
      <c r="C14" s="23"/>
      <c r="D14" s="51"/>
      <c r="E14" s="91"/>
      <c r="F14" s="58"/>
      <c r="G14" s="58"/>
      <c r="AO14" s="19"/>
      <c r="AP14" s="20"/>
      <c r="AY14" s="13"/>
      <c r="AZ14" s="13"/>
      <c r="BA14" s="13"/>
      <c r="BC14" s="13"/>
      <c r="BD14" s="13"/>
      <c r="BE14" s="13"/>
      <c r="BF14" s="13"/>
      <c r="BH14" s="13"/>
      <c r="BM14" s="21"/>
      <c r="BN14" s="21"/>
      <c r="BP14" s="14"/>
    </row>
    <row r="15" spans="1:71" x14ac:dyDescent="0.25">
      <c r="B15" s="23"/>
      <c r="C15" s="23"/>
      <c r="D15" s="23"/>
      <c r="E15" s="91"/>
      <c r="F15" s="58"/>
      <c r="G15" s="58"/>
      <c r="AO15" s="19"/>
      <c r="AP15" s="20"/>
      <c r="AY15" s="13"/>
      <c r="AZ15" s="13"/>
      <c r="BA15" s="13"/>
      <c r="BC15" s="13"/>
      <c r="BD15" s="13"/>
      <c r="BE15" s="13"/>
      <c r="BF15" s="13"/>
      <c r="BH15" s="13"/>
      <c r="BM15" s="21"/>
      <c r="BN15" s="21"/>
      <c r="BP15" s="14"/>
    </row>
    <row r="16" spans="1:71" x14ac:dyDescent="0.25">
      <c r="B16" s="23"/>
      <c r="C16" s="23"/>
      <c r="D16" s="23"/>
      <c r="E16" s="62"/>
      <c r="F16" s="58"/>
      <c r="G16" s="5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  <c r="V16" s="21"/>
      <c r="W16" s="21"/>
      <c r="X16" s="21"/>
      <c r="Y16" s="21"/>
      <c r="AD16" s="21"/>
      <c r="AE16" s="21"/>
      <c r="AF16" s="21"/>
      <c r="AG16" s="21"/>
      <c r="AH16" s="21"/>
      <c r="AI16" s="21"/>
      <c r="AL16" s="21"/>
      <c r="AM16" s="21"/>
      <c r="AN16" s="21"/>
      <c r="AO16" s="19"/>
      <c r="AP16" s="20"/>
      <c r="AR16" s="21"/>
      <c r="AS16" s="21"/>
      <c r="AT16" s="21"/>
      <c r="AU16" s="21"/>
      <c r="AV16" s="21"/>
      <c r="AW16" s="21"/>
      <c r="AX16" s="21"/>
      <c r="AY16" s="13"/>
      <c r="AZ16" s="13"/>
      <c r="BA16" s="13"/>
      <c r="BC16" s="13"/>
      <c r="BD16" s="13"/>
      <c r="BE16" s="13"/>
      <c r="BF16" s="13"/>
      <c r="BH16" s="13"/>
      <c r="BK16" s="21"/>
      <c r="BL16" s="21"/>
      <c r="BM16" s="21"/>
      <c r="BN16" s="21"/>
      <c r="BP16" s="14"/>
      <c r="BQ16" s="21"/>
      <c r="BR16" s="21"/>
      <c r="BS16" s="21"/>
    </row>
    <row r="17" spans="2:71" x14ac:dyDescent="0.25">
      <c r="B17" s="18"/>
      <c r="C17" s="18"/>
      <c r="D17" s="18"/>
      <c r="E17" s="18"/>
      <c r="F17" s="18"/>
      <c r="G17" s="18"/>
      <c r="AP17" s="20"/>
      <c r="AQ17" s="21"/>
      <c r="BN17" s="21"/>
      <c r="BP17" s="14"/>
    </row>
    <row r="18" spans="2:71" ht="7.5" customHeight="1" x14ac:dyDescent="0.25">
      <c r="B18" s="28"/>
      <c r="C18" s="28"/>
      <c r="D18" s="28"/>
      <c r="E18" s="28"/>
      <c r="F18" s="28"/>
      <c r="G18" s="2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U18" s="21"/>
      <c r="V18" s="21"/>
      <c r="W18" s="21"/>
      <c r="X18" s="21"/>
      <c r="Y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9"/>
      <c r="AP18" s="20"/>
      <c r="AR18" s="21"/>
      <c r="AS18" s="21"/>
      <c r="AT18" s="21"/>
      <c r="AU18" s="21"/>
      <c r="AV18" s="21"/>
      <c r="AW18" s="21"/>
      <c r="AX18" s="21"/>
      <c r="AY18" s="13"/>
      <c r="AZ18" s="13"/>
      <c r="BA18" s="13"/>
      <c r="BC18" s="13"/>
      <c r="BD18" s="13"/>
      <c r="BE18" s="13"/>
      <c r="BF18" s="13"/>
      <c r="BH18" s="13"/>
      <c r="BK18" s="21"/>
      <c r="BL18" s="21"/>
      <c r="BM18" s="21"/>
      <c r="BN18" s="21"/>
      <c r="BP18" s="14"/>
      <c r="BQ18" s="21"/>
      <c r="BR18" s="21"/>
      <c r="BS18" s="21"/>
    </row>
    <row r="19" spans="2:71" ht="7.5" customHeight="1" x14ac:dyDescent="0.25">
      <c r="B19" s="18"/>
      <c r="C19" s="18"/>
      <c r="D19" s="18"/>
      <c r="E19" s="18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  <c r="V19" s="21"/>
      <c r="W19" s="21"/>
      <c r="X19" s="21"/>
      <c r="Y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9"/>
      <c r="AP19" s="20"/>
      <c r="AR19" s="21"/>
      <c r="AS19" s="21"/>
      <c r="AT19" s="21"/>
      <c r="AU19" s="21"/>
      <c r="AV19" s="21"/>
      <c r="AW19" s="21"/>
      <c r="AX19" s="21"/>
      <c r="AY19" s="13"/>
      <c r="AZ19" s="13"/>
      <c r="BA19" s="13"/>
      <c r="BC19" s="13"/>
      <c r="BD19" s="13"/>
      <c r="BE19" s="13"/>
      <c r="BF19" s="13"/>
      <c r="BH19" s="13"/>
      <c r="BK19" s="21"/>
      <c r="BL19" s="21"/>
      <c r="BM19" s="21"/>
      <c r="BN19" s="21"/>
      <c r="BP19" s="14"/>
      <c r="BQ19" s="21"/>
      <c r="BR19" s="21"/>
      <c r="BS19" s="21"/>
    </row>
    <row r="20" spans="2:71" ht="23.25" x14ac:dyDescent="0.25">
      <c r="B20" s="18"/>
      <c r="C20" s="18"/>
      <c r="D20" s="18"/>
      <c r="E20" s="41" t="s">
        <v>79</v>
      </c>
      <c r="G20" s="18"/>
      <c r="AP20" s="20"/>
      <c r="AQ20" s="21"/>
      <c r="BN20" s="21"/>
      <c r="BP20" s="14"/>
    </row>
    <row r="21" spans="2:71" ht="16.5" customHeight="1" x14ac:dyDescent="0.25">
      <c r="B21" s="18"/>
      <c r="C21" s="18"/>
      <c r="D21" s="18"/>
      <c r="E21" s="18"/>
      <c r="F21" s="26"/>
      <c r="G21" s="18"/>
      <c r="AP21" s="20"/>
      <c r="AQ21" s="21"/>
      <c r="BN21" s="21"/>
      <c r="BP21" s="14"/>
    </row>
    <row r="22" spans="2:71" s="15" customFormat="1" x14ac:dyDescent="0.25">
      <c r="B22" s="4"/>
      <c r="C22" s="4"/>
      <c r="D22" s="4"/>
      <c r="E22" s="5" t="s">
        <v>77</v>
      </c>
      <c r="F22" s="39" t="s">
        <v>78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9"/>
      <c r="AP22" s="20"/>
      <c r="AQ22" s="21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4"/>
      <c r="BP22" s="4"/>
      <c r="BQ22" s="4"/>
      <c r="BR22" s="4"/>
      <c r="BS22" s="4"/>
    </row>
    <row r="23" spans="2:71" ht="36.75" customHeight="1" x14ac:dyDescent="0.25">
      <c r="B23" s="36" t="s">
        <v>135</v>
      </c>
      <c r="C23" s="24" t="s">
        <v>73</v>
      </c>
      <c r="D23" s="54" t="s">
        <v>137</v>
      </c>
      <c r="E23" s="35" t="s">
        <v>133</v>
      </c>
      <c r="F23" s="35" t="s">
        <v>134</v>
      </c>
      <c r="G23" s="102"/>
      <c r="AO23" s="19"/>
      <c r="AP23" s="20"/>
      <c r="AQ23" s="21"/>
      <c r="BN23" s="21"/>
    </row>
    <row r="24" spans="2:71" ht="30" x14ac:dyDescent="0.25">
      <c r="B24" s="36" t="s">
        <v>136</v>
      </c>
      <c r="C24" s="24" t="s">
        <v>73</v>
      </c>
      <c r="D24" s="54" t="s">
        <v>138</v>
      </c>
      <c r="E24" s="35" t="s">
        <v>133</v>
      </c>
      <c r="F24" s="35" t="s">
        <v>134</v>
      </c>
      <c r="G24" s="102"/>
      <c r="U24" s="21"/>
      <c r="V24" s="21"/>
      <c r="W24" s="21"/>
      <c r="Y24" s="21"/>
      <c r="AA24" s="21"/>
      <c r="AB24" s="21"/>
      <c r="AD24" s="21"/>
      <c r="AE24" s="21"/>
      <c r="AG24" s="21"/>
      <c r="AH24" s="21"/>
      <c r="AI24" s="21"/>
      <c r="AJ24" s="21"/>
      <c r="AK24" s="21"/>
      <c r="AL24" s="21"/>
      <c r="AM24" s="21"/>
      <c r="AN24" s="21"/>
      <c r="AO24" s="19"/>
      <c r="AP24" s="20"/>
      <c r="AQ24" s="21"/>
      <c r="AR24" s="21"/>
      <c r="AS24" s="21"/>
      <c r="AT24" s="21"/>
      <c r="AU24" s="21"/>
      <c r="AV24" s="21"/>
      <c r="AW24" s="21"/>
      <c r="AX24" s="21"/>
      <c r="AZ24" s="21"/>
      <c r="BA24" s="21"/>
      <c r="BB24" s="21"/>
      <c r="BC24" s="21"/>
      <c r="BD24" s="21"/>
      <c r="BE24" s="21"/>
      <c r="BF24" s="21"/>
      <c r="BG24" s="21"/>
      <c r="BH24" s="21"/>
      <c r="BJ24" s="21"/>
      <c r="BK24" s="21"/>
      <c r="BL24" s="21"/>
      <c r="BM24" s="21"/>
      <c r="BN24" s="21"/>
      <c r="BO24" s="21"/>
      <c r="BP24" s="14"/>
      <c r="BQ24" s="21"/>
      <c r="BR24" s="21"/>
      <c r="BS24" s="21"/>
    </row>
    <row r="25" spans="2:71" s="15" customFormat="1" x14ac:dyDescent="0.25">
      <c r="B25" s="25"/>
      <c r="C25" s="24"/>
      <c r="D25" s="24"/>
      <c r="E25" s="35"/>
      <c r="F25" s="101"/>
      <c r="G25" s="10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2:71" s="15" customFormat="1" x14ac:dyDescent="0.25">
      <c r="B26" s="25"/>
      <c r="C26" s="23"/>
      <c r="D26" s="24"/>
      <c r="E26" s="35"/>
      <c r="F26" s="101"/>
      <c r="G26" s="10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2:71" s="15" customFormat="1" x14ac:dyDescent="0.25">
      <c r="B27" s="21"/>
      <c r="C27" s="21"/>
      <c r="D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2:71" s="15" customFormat="1" x14ac:dyDescent="0.25">
      <c r="B28" s="21"/>
      <c r="C28" s="21"/>
      <c r="D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2:71" s="15" customFormat="1" x14ac:dyDescent="0.25">
      <c r="B29" s="21"/>
      <c r="C29" s="21"/>
      <c r="D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2:71" s="15" customFormat="1" x14ac:dyDescent="0.25">
      <c r="B30" s="21"/>
      <c r="C30" s="21"/>
      <c r="D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2:71" s="15" customFormat="1" x14ac:dyDescent="0.25">
      <c r="B31" s="21"/>
      <c r="C31" s="21"/>
      <c r="D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2:71" s="15" customFormat="1" x14ac:dyDescent="0.25">
      <c r="B32" s="21"/>
      <c r="C32" s="21"/>
      <c r="D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2:71" s="15" customFormat="1" x14ac:dyDescent="0.25">
      <c r="B33" s="21"/>
      <c r="C33" s="21"/>
      <c r="D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2:71" s="15" customFormat="1" x14ac:dyDescent="0.25">
      <c r="B34" s="21"/>
      <c r="C34" s="21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2:71" s="15" customFormat="1" x14ac:dyDescent="0.25">
      <c r="B35" s="21"/>
      <c r="C35" s="21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2:71" s="15" customFormat="1" x14ac:dyDescent="0.25">
      <c r="B36" s="21"/>
      <c r="C36" s="21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s="15" customFormat="1" x14ac:dyDescent="0.25">
      <c r="B37" s="21"/>
      <c r="C37" s="21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s="15" customFormat="1" x14ac:dyDescent="0.25">
      <c r="B38" s="21"/>
      <c r="C38" s="21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s="15" customFormat="1" x14ac:dyDescent="0.25">
      <c r="B39" s="21"/>
      <c r="C39" s="21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15" customFormat="1" x14ac:dyDescent="0.25">
      <c r="B40" s="21"/>
      <c r="C40" s="21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15" customFormat="1" x14ac:dyDescent="0.25">
      <c r="B41" s="21"/>
      <c r="C41" s="21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15" customFormat="1" x14ac:dyDescent="0.25">
      <c r="B42" s="21"/>
      <c r="C42" s="21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15" customFormat="1" x14ac:dyDescent="0.25">
      <c r="B43" s="21"/>
      <c r="C43" s="2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15" customFormat="1" x14ac:dyDescent="0.25">
      <c r="B44" s="21"/>
      <c r="C44" s="2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15" customFormat="1" x14ac:dyDescent="0.25">
      <c r="B45" s="21"/>
      <c r="C45" s="2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15" customFormat="1" x14ac:dyDescent="0.25">
      <c r="B46" s="21"/>
      <c r="C46" s="2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s="15" customFormat="1" x14ac:dyDescent="0.25">
      <c r="B47" s="21"/>
      <c r="C47" s="2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15" customFormat="1" x14ac:dyDescent="0.25">
      <c r="B48" s="21"/>
      <c r="C48" s="2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s="15" customFormat="1" x14ac:dyDescent="0.25">
      <c r="B49" s="21"/>
      <c r="C49" s="2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s="15" customFormat="1" x14ac:dyDescent="0.25">
      <c r="B50" s="21"/>
      <c r="C50" s="2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s="15" customFormat="1" x14ac:dyDescent="0.25">
      <c r="B51" s="21"/>
      <c r="C51" s="2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s="15" customFormat="1" x14ac:dyDescent="0.25">
      <c r="B52" s="21"/>
      <c r="C52" s="2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s="15" customFormat="1" x14ac:dyDescent="0.25">
      <c r="B53" s="21"/>
      <c r="C53" s="2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s="15" customFormat="1" x14ac:dyDescent="0.25">
      <c r="B54" s="21"/>
      <c r="C54" s="2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s="15" customFormat="1" x14ac:dyDescent="0.25">
      <c r="B55" s="21"/>
      <c r="C55" s="2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s="15" customFormat="1" x14ac:dyDescent="0.25">
      <c r="B56" s="21"/>
      <c r="C56" s="2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5" customFormat="1" x14ac:dyDescent="0.25">
      <c r="B57" s="21"/>
      <c r="C57" s="2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s="15" customFormat="1" x14ac:dyDescent="0.25">
      <c r="B58" s="21"/>
      <c r="C58" s="2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s="15" customFormat="1" x14ac:dyDescent="0.25">
      <c r="B59" s="21"/>
      <c r="C59" s="2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s="15" customFormat="1" x14ac:dyDescent="0.25">
      <c r="B60" s="21"/>
      <c r="C60" s="2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s="15" customFormat="1" x14ac:dyDescent="0.25">
      <c r="B61" s="21"/>
      <c r="C61" s="2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s="15" customFormat="1" x14ac:dyDescent="0.25">
      <c r="B62" s="21"/>
      <c r="C62" s="2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s="15" customFormat="1" x14ac:dyDescent="0.25">
      <c r="B63" s="21"/>
      <c r="C63" s="2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s="15" customFormat="1" x14ac:dyDescent="0.25">
      <c r="B64" s="21"/>
      <c r="C64" s="2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2:71" s="15" customFormat="1" x14ac:dyDescent="0.25">
      <c r="B65" s="21"/>
      <c r="C65" s="2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2:71" s="15" customFormat="1" x14ac:dyDescent="0.25">
      <c r="B66" s="21"/>
      <c r="C66" s="2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2:71" s="15" customFormat="1" x14ac:dyDescent="0.25">
      <c r="B67" s="21"/>
      <c r="C67" s="2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2:71" s="15" customFormat="1" x14ac:dyDescent="0.25">
      <c r="B68" s="21"/>
      <c r="C68" s="2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2:71" s="15" customFormat="1" x14ac:dyDescent="0.25">
      <c r="B69" s="21"/>
      <c r="C69" s="2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2:71" s="15" customFormat="1" x14ac:dyDescent="0.25">
      <c r="B70" s="21"/>
      <c r="C70" s="2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2:71" s="15" customFormat="1" x14ac:dyDescent="0.25">
      <c r="B71" s="21"/>
      <c r="C71" s="2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71" s="15" customFormat="1" x14ac:dyDescent="0.25">
      <c r="B72" s="21"/>
      <c r="C72" s="2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2:71" s="15" customFormat="1" x14ac:dyDescent="0.25">
      <c r="B73" s="21"/>
      <c r="C73" s="2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2:71" s="15" customFormat="1" x14ac:dyDescent="0.25">
      <c r="B74" s="21"/>
      <c r="C74" s="2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2:71" s="15" customFormat="1" x14ac:dyDescent="0.25">
      <c r="B75" s="21"/>
      <c r="C75" s="2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2:71" s="15" customFormat="1" x14ac:dyDescent="0.25">
      <c r="B76" s="21"/>
      <c r="C76" s="2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2:71" s="15" customFormat="1" x14ac:dyDescent="0.25">
      <c r="B77" s="21"/>
      <c r="C77" s="2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2:71" s="15" customFormat="1" x14ac:dyDescent="0.25">
      <c r="B78" s="21"/>
      <c r="C78" s="2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2:71" s="15" customFormat="1" x14ac:dyDescent="0.25">
      <c r="B79" s="21"/>
      <c r="C79" s="2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2:71" s="15" customFormat="1" x14ac:dyDescent="0.25">
      <c r="B80" s="21"/>
      <c r="C80" s="2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2:71" s="15" customFormat="1" x14ac:dyDescent="0.25">
      <c r="B81" s="21"/>
      <c r="C81" s="2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2:71" s="15" customFormat="1" x14ac:dyDescent="0.25">
      <c r="B82" s="21"/>
      <c r="C82" s="2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2:71" s="15" customFormat="1" x14ac:dyDescent="0.25">
      <c r="B83" s="21"/>
      <c r="C83" s="2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2:71" s="15" customFormat="1" x14ac:dyDescent="0.25">
      <c r="B84" s="21"/>
      <c r="C84" s="2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2:71" s="15" customFormat="1" x14ac:dyDescent="0.25">
      <c r="B85" s="21"/>
      <c r="C85" s="2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2:71" s="15" customFormat="1" x14ac:dyDescent="0.25">
      <c r="B86" s="21"/>
      <c r="C86" s="2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2:71" s="15" customFormat="1" x14ac:dyDescent="0.25">
      <c r="B87" s="21"/>
      <c r="C87" s="2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2:71" s="15" customFormat="1" x14ac:dyDescent="0.25">
      <c r="B88" s="21"/>
      <c r="C88" s="2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2:71" s="15" customFormat="1" x14ac:dyDescent="0.25">
      <c r="B89" s="21"/>
      <c r="C89" s="2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2:71" s="15" customFormat="1" x14ac:dyDescent="0.25">
      <c r="B90" s="21"/>
      <c r="C90" s="2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2:71" s="15" customFormat="1" x14ac:dyDescent="0.25">
      <c r="B91" s="21"/>
      <c r="C91" s="2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2:71" s="15" customFormat="1" x14ac:dyDescent="0.25">
      <c r="B92" s="21"/>
      <c r="C92" s="2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2:71" s="15" customFormat="1" x14ac:dyDescent="0.25">
      <c r="B93" s="21"/>
      <c r="C93" s="2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2:71" s="15" customFormat="1" x14ac:dyDescent="0.25">
      <c r="B94" s="21"/>
      <c r="C94" s="2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2:71" s="15" customFormat="1" x14ac:dyDescent="0.25">
      <c r="B95" s="21"/>
      <c r="C95" s="2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2:71" s="15" customFormat="1" x14ac:dyDescent="0.25">
      <c r="B96" s="21"/>
      <c r="C96" s="2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2:71" s="15" customFormat="1" x14ac:dyDescent="0.25">
      <c r="B97" s="21"/>
      <c r="C97" s="2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2:71" s="15" customFormat="1" x14ac:dyDescent="0.25">
      <c r="B98" s="21"/>
      <c r="C98" s="2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2:71" s="15" customFormat="1" x14ac:dyDescent="0.25">
      <c r="B99" s="21"/>
      <c r="C99" s="2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2:71" s="15" customFormat="1" x14ac:dyDescent="0.25">
      <c r="B100" s="21"/>
      <c r="C100" s="2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2:71" s="15" customFormat="1" x14ac:dyDescent="0.25">
      <c r="B101" s="21"/>
      <c r="C101" s="2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2:71" s="15" customFormat="1" x14ac:dyDescent="0.25">
      <c r="B102" s="21"/>
      <c r="C102" s="2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2:71" s="15" customFormat="1" x14ac:dyDescent="0.25">
      <c r="B103" s="21"/>
      <c r="C103" s="2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2:71" s="15" customFormat="1" x14ac:dyDescent="0.25">
      <c r="B104" s="21"/>
      <c r="C104" s="2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2:71" s="15" customFormat="1" x14ac:dyDescent="0.25">
      <c r="B105" s="21"/>
      <c r="C105" s="2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2:71" s="15" customFormat="1" x14ac:dyDescent="0.25">
      <c r="B106" s="21"/>
      <c r="C106" s="2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2:71" s="15" customFormat="1" x14ac:dyDescent="0.25">
      <c r="B107" s="21"/>
      <c r="C107" s="2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2:71" s="15" customFormat="1" x14ac:dyDescent="0.25">
      <c r="B108" s="21"/>
      <c r="C108" s="2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2:71" s="15" customFormat="1" x14ac:dyDescent="0.25">
      <c r="B109" s="21"/>
      <c r="C109" s="2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2:71" s="15" customFormat="1" x14ac:dyDescent="0.25">
      <c r="B110" s="21"/>
      <c r="C110" s="2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2:71" s="15" customFormat="1" x14ac:dyDescent="0.25">
      <c r="B111" s="21"/>
      <c r="C111" s="2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2:71" s="15" customFormat="1" x14ac:dyDescent="0.25">
      <c r="B112" s="21"/>
      <c r="C112" s="2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s="15" customFormat="1" x14ac:dyDescent="0.25">
      <c r="B113" s="21"/>
      <c r="C113" s="2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s="15" customFormat="1" x14ac:dyDescent="0.25">
      <c r="B114" s="21"/>
      <c r="C114" s="2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s="15" customFormat="1" x14ac:dyDescent="0.25">
      <c r="B115" s="21"/>
      <c r="C115" s="2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s="15" customFormat="1" x14ac:dyDescent="0.25">
      <c r="B116" s="21"/>
      <c r="C116" s="2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s="15" customFormat="1" x14ac:dyDescent="0.25">
      <c r="B117" s="21"/>
      <c r="C117" s="2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s="15" customFormat="1" x14ac:dyDescent="0.25">
      <c r="B118" s="21"/>
      <c r="C118" s="2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s="15" customFormat="1" x14ac:dyDescent="0.25">
      <c r="B119" s="21"/>
      <c r="C119" s="2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s="15" customFormat="1" x14ac:dyDescent="0.25">
      <c r="B120" s="21"/>
      <c r="C120" s="2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s="15" customFormat="1" x14ac:dyDescent="0.25">
      <c r="B121" s="21"/>
      <c r="C121" s="2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s="15" customFormat="1" x14ac:dyDescent="0.25">
      <c r="B122" s="21"/>
      <c r="C122" s="2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s="15" customFormat="1" x14ac:dyDescent="0.25">
      <c r="B123" s="21"/>
      <c r="C123" s="2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s="15" customFormat="1" x14ac:dyDescent="0.25">
      <c r="B124" s="21"/>
      <c r="C124" s="2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s="15" customFormat="1" x14ac:dyDescent="0.25">
      <c r="B125" s="21"/>
      <c r="C125" s="2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s="15" customFormat="1" x14ac:dyDescent="0.25">
      <c r="B126" s="21"/>
      <c r="C126" s="2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s="15" customFormat="1" x14ac:dyDescent="0.25">
      <c r="B127" s="21"/>
      <c r="C127" s="2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s="15" customFormat="1" x14ac:dyDescent="0.25">
      <c r="B128" s="21"/>
      <c r="C128" s="2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s="15" customFormat="1" x14ac:dyDescent="0.25">
      <c r="B129" s="21"/>
      <c r="C129" s="2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</sheetData>
  <mergeCells count="8">
    <mergeCell ref="BI4:BP4"/>
    <mergeCell ref="AY7:BC7"/>
    <mergeCell ref="T4:AN4"/>
    <mergeCell ref="AO4:AP4"/>
    <mergeCell ref="AQ4:AR4"/>
    <mergeCell ref="AS4:AX4"/>
    <mergeCell ref="AY4:BC4"/>
    <mergeCell ref="BD4:BH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22</vt:i4>
      </vt:variant>
    </vt:vector>
  </HeadingPairs>
  <TitlesOfParts>
    <vt:vector size="35" baseType="lpstr">
      <vt:lpstr>Jun 4</vt:lpstr>
      <vt:lpstr>May 11</vt:lpstr>
      <vt:lpstr>April 15</vt:lpstr>
      <vt:lpstr>March 20 2015</vt:lpstr>
      <vt:lpstr>Feb 16 2015</vt:lpstr>
      <vt:lpstr>Jan 26 2015</vt:lpstr>
      <vt:lpstr>Jan 9 2015</vt:lpstr>
      <vt:lpstr>Dec 10 2014</vt:lpstr>
      <vt:lpstr>Nov 17 2014</vt:lpstr>
      <vt:lpstr>Oct 15, 2014</vt:lpstr>
      <vt:lpstr>Oct 1 2014</vt:lpstr>
      <vt:lpstr>Obsoleted</vt:lpstr>
      <vt:lpstr>Superceded</vt:lpstr>
      <vt:lpstr>'April 15'!Print_Area</vt:lpstr>
      <vt:lpstr>'Dec 10 2014'!Print_Area</vt:lpstr>
      <vt:lpstr>'Feb 16 2015'!Print_Area</vt:lpstr>
      <vt:lpstr>'Jan 26 2015'!Print_Area</vt:lpstr>
      <vt:lpstr>'Jan 9 2015'!Print_Area</vt:lpstr>
      <vt:lpstr>'Jun 4'!Print_Area</vt:lpstr>
      <vt:lpstr>'March 20 2015'!Print_Area</vt:lpstr>
      <vt:lpstr>'May 11'!Print_Area</vt:lpstr>
      <vt:lpstr>'Nov 17 2014'!Print_Area</vt:lpstr>
      <vt:lpstr>'Oct 1 2014'!Print_Area</vt:lpstr>
      <vt:lpstr>'Oct 15, 2014'!Print_Area</vt:lpstr>
      <vt:lpstr>'April 15'!Print_Titles</vt:lpstr>
      <vt:lpstr>'Dec 10 2014'!Print_Titles</vt:lpstr>
      <vt:lpstr>'Feb 16 2015'!Print_Titles</vt:lpstr>
      <vt:lpstr>'Jan 26 2015'!Print_Titles</vt:lpstr>
      <vt:lpstr>'Jan 9 2015'!Print_Titles</vt:lpstr>
      <vt:lpstr>'Jun 4'!Print_Titles</vt:lpstr>
      <vt:lpstr>'March 20 2015'!Print_Titles</vt:lpstr>
      <vt:lpstr>'May 11'!Print_Titles</vt:lpstr>
      <vt:lpstr>'Nov 17 2014'!Print_Titles</vt:lpstr>
      <vt:lpstr>'Oct 1 2014'!Print_Titles</vt:lpstr>
      <vt:lpstr>'Oct 15, 2014'!Print_Titles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2015-06-08T17:52:56Z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