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rg1643\Desktop\"/>
    </mc:Choice>
  </mc:AlternateContent>
  <bookViews>
    <workbookView xWindow="3150" yWindow="75" windowWidth="12120" windowHeight="7380" tabRatio="714"/>
  </bookViews>
  <sheets>
    <sheet name="Dec 15, 2017" sheetId="57" r:id="rId1"/>
    <sheet name="Historical Recap" sheetId="56" r:id="rId2"/>
    <sheet name="Obsoleted" sheetId="51" r:id="rId3"/>
    <sheet name="Superceded" sheetId="52" r:id="rId4"/>
  </sheets>
  <externalReferences>
    <externalReference r:id="rId5"/>
  </externalReferences>
  <definedNames>
    <definedName name="_xlnm._FilterDatabase" localSheetId="0" hidden="1">'Dec 15, 2017'!$A$5:$CB$7</definedName>
    <definedName name="_xlnm._FilterDatabase" localSheetId="1" hidden="1">'Historical Recap'!$A$6:$CJ$111</definedName>
    <definedName name="_xlnm._FilterDatabase" localSheetId="2" hidden="1">Obsoleted!$A$1:$C$1</definedName>
    <definedName name="_xlnm.Print_Area" localSheetId="0">'Dec 15, 2017'!$B$3:$F$5</definedName>
    <definedName name="_xlnm.Print_Area" localSheetId="1">'Historical Recap'!$C$213:$N$231</definedName>
    <definedName name="_xlnm.Print_Titles" localSheetId="0">'Dec 15, 2017'!$1:$5</definedName>
    <definedName name="_xlnm.Print_Titles" localSheetId="1">'Historical Recap'!$1:$212</definedName>
  </definedNames>
  <calcPr calcId="171027"/>
</workbook>
</file>

<file path=xl/calcChain.xml><?xml version="1.0" encoding="utf-8"?>
<calcChain xmlns="http://schemas.openxmlformats.org/spreadsheetml/2006/main">
  <c r="BW8" i="56" l="1"/>
  <c r="BQ8" i="56"/>
  <c r="BN8" i="56"/>
  <c r="BW7" i="57"/>
  <c r="BQ7" i="57"/>
  <c r="BN7" i="57"/>
  <c r="BQ10" i="56" l="1"/>
  <c r="BQ9" i="56"/>
  <c r="BV12" i="56" l="1"/>
  <c r="BQ12" i="56"/>
  <c r="BW12" i="56" l="1"/>
  <c r="BV16" i="56"/>
  <c r="BQ16" i="56"/>
  <c r="BW16" i="56" s="1"/>
  <c r="BV15" i="56"/>
  <c r="BQ15" i="56"/>
  <c r="BW15" i="56" s="1"/>
  <c r="BV14" i="56"/>
  <c r="BQ14" i="56"/>
  <c r="BW14" i="56" s="1"/>
  <c r="BV13" i="56"/>
  <c r="BQ13" i="56"/>
  <c r="BV11" i="56"/>
  <c r="BQ11" i="56"/>
  <c r="BW11" i="56" s="1"/>
  <c r="BW13" i="56" l="1"/>
  <c r="BV17" i="56"/>
  <c r="BQ17" i="56"/>
  <c r="BW17" i="56" s="1"/>
  <c r="BI17" i="56"/>
  <c r="BN18" i="56" l="1"/>
  <c r="BQ18" i="56"/>
  <c r="BV18" i="56"/>
  <c r="BW18" i="56"/>
  <c r="BV20" i="56" l="1"/>
  <c r="BQ20" i="56"/>
  <c r="BW20" i="56" s="1"/>
  <c r="BN20" i="56"/>
  <c r="BV19" i="56"/>
  <c r="BQ19" i="56"/>
  <c r="BW19" i="56" s="1"/>
  <c r="BN19" i="56"/>
  <c r="BV25" i="56" l="1"/>
  <c r="BQ25" i="56"/>
  <c r="BW25" i="56" s="1"/>
  <c r="BN25" i="56"/>
  <c r="BV24" i="56"/>
  <c r="BQ24" i="56"/>
  <c r="BW24" i="56" s="1"/>
  <c r="BN24" i="56"/>
  <c r="BV23" i="56"/>
  <c r="BQ23" i="56"/>
  <c r="BW23" i="56" s="1"/>
  <c r="BN23" i="56"/>
  <c r="BV22" i="56"/>
  <c r="BQ22" i="56"/>
  <c r="BW22" i="56" s="1"/>
  <c r="BN22" i="56"/>
  <c r="BV21" i="56"/>
  <c r="BQ21" i="56"/>
  <c r="BW21" i="56" s="1"/>
  <c r="BM21" i="56"/>
  <c r="BL21" i="56"/>
  <c r="BK21" i="56"/>
  <c r="BN21" i="56" l="1"/>
  <c r="BW28" i="56"/>
  <c r="BV28" i="56"/>
  <c r="BQ28" i="56"/>
  <c r="BP28" i="56"/>
  <c r="BN28" i="56"/>
  <c r="BW27" i="56"/>
  <c r="BV27" i="56"/>
  <c r="BQ27" i="56"/>
  <c r="BP27" i="56"/>
  <c r="BN27" i="56"/>
  <c r="BV26" i="56"/>
  <c r="BP26" i="56"/>
  <c r="BO26" i="56"/>
  <c r="BQ26" i="56" s="1"/>
  <c r="BN26" i="56"/>
  <c r="BW26" i="56" l="1"/>
  <c r="BW55" i="56" l="1"/>
  <c r="BV55" i="56"/>
  <c r="BN55" i="56"/>
  <c r="BG55" i="56"/>
  <c r="BF55" i="56"/>
  <c r="BW54" i="56"/>
  <c r="BV54" i="56"/>
  <c r="BL54" i="56"/>
  <c r="BK54" i="56"/>
  <c r="BH54" i="56"/>
  <c r="BG54" i="56"/>
  <c r="BF54" i="56"/>
  <c r="BW53" i="56"/>
  <c r="BV53" i="56"/>
  <c r="BM53" i="56"/>
  <c r="BL53" i="56"/>
  <c r="BK53" i="56"/>
  <c r="BH53" i="56"/>
  <c r="BG53" i="56"/>
  <c r="BF53" i="56"/>
  <c r="BW52" i="56"/>
  <c r="BV52" i="56"/>
  <c r="BM52" i="56"/>
  <c r="BL52" i="56"/>
  <c r="BK52" i="56"/>
  <c r="BH52" i="56"/>
  <c r="BG52" i="56"/>
  <c r="BF52" i="56"/>
  <c r="BW51" i="56"/>
  <c r="BV51" i="56"/>
  <c r="BN51" i="56"/>
  <c r="BH51" i="56"/>
  <c r="BG51" i="56"/>
  <c r="BF51" i="56"/>
  <c r="BW50" i="56"/>
  <c r="BV50" i="56"/>
  <c r="BM50" i="56"/>
  <c r="BN50" i="56" s="1"/>
  <c r="BH50" i="56"/>
  <c r="BG50" i="56"/>
  <c r="BF50" i="56"/>
  <c r="BW49" i="56"/>
  <c r="BV49" i="56"/>
  <c r="BM49" i="56"/>
  <c r="BN49" i="56" s="1"/>
  <c r="BH49" i="56"/>
  <c r="BG49" i="56"/>
  <c r="BF49" i="56"/>
  <c r="BW48" i="56"/>
  <c r="BV48" i="56"/>
  <c r="BL48" i="56"/>
  <c r="BN48" i="56" s="1"/>
  <c r="BH48" i="56"/>
  <c r="BG48" i="56"/>
  <c r="BF48" i="56"/>
  <c r="BW47" i="56"/>
  <c r="BV47" i="56"/>
  <c r="BL47" i="56"/>
  <c r="BN47" i="56" s="1"/>
  <c r="BH47" i="56"/>
  <c r="BG47" i="56"/>
  <c r="BF47" i="56"/>
  <c r="BW46" i="56"/>
  <c r="BV46" i="56"/>
  <c r="BL46" i="56"/>
  <c r="BK46" i="56"/>
  <c r="BH46" i="56"/>
  <c r="BG46" i="56"/>
  <c r="BF46" i="56"/>
  <c r="BW45" i="56"/>
  <c r="BV45" i="56"/>
  <c r="BK45" i="56"/>
  <c r="BN45" i="56" s="1"/>
  <c r="BH45" i="56"/>
  <c r="BG45" i="56"/>
  <c r="BF45" i="56"/>
  <c r="BW44" i="56"/>
  <c r="BV44" i="56"/>
  <c r="BK44" i="56"/>
  <c r="BN44" i="56" s="1"/>
  <c r="BH44" i="56"/>
  <c r="BG44" i="56"/>
  <c r="BF44" i="56"/>
  <c r="BW43" i="56"/>
  <c r="BV43" i="56"/>
  <c r="BN43" i="56"/>
  <c r="BH43" i="56"/>
  <c r="BG43" i="56"/>
  <c r="BF43" i="56"/>
  <c r="BW42" i="56"/>
  <c r="BV42" i="56"/>
  <c r="BM42" i="56"/>
  <c r="BL42" i="56"/>
  <c r="BK42" i="56"/>
  <c r="BH42" i="56"/>
  <c r="BG42" i="56"/>
  <c r="BF42" i="56"/>
  <c r="BW41" i="56"/>
  <c r="BV41" i="56"/>
  <c r="BK41" i="56"/>
  <c r="BN41" i="56" s="1"/>
  <c r="BH41" i="56"/>
  <c r="BG41" i="56"/>
  <c r="BF41" i="56"/>
  <c r="BW40" i="56"/>
  <c r="BV40" i="56"/>
  <c r="BM40" i="56"/>
  <c r="BL40" i="56"/>
  <c r="BK40" i="56"/>
  <c r="BH40" i="56"/>
  <c r="BG40" i="56"/>
  <c r="BF40" i="56"/>
  <c r="BW39" i="56"/>
  <c r="BV39" i="56"/>
  <c r="BM39" i="56"/>
  <c r="BN39" i="56" s="1"/>
  <c r="BH39" i="56"/>
  <c r="BG39" i="56"/>
  <c r="BF39" i="56"/>
  <c r="BW38" i="56"/>
  <c r="BV38" i="56"/>
  <c r="BN38" i="56"/>
  <c r="BH38" i="56"/>
  <c r="BG38" i="56"/>
  <c r="BF38" i="56"/>
  <c r="BN46" i="56" l="1"/>
  <c r="BN40" i="56"/>
  <c r="BI40" i="56"/>
  <c r="BI44" i="56"/>
  <c r="BI39" i="56"/>
  <c r="BN42" i="56"/>
  <c r="BN54" i="56"/>
  <c r="BI55" i="56"/>
  <c r="BI42" i="56"/>
  <c r="BI41" i="56"/>
  <c r="BI45" i="56"/>
  <c r="BI53" i="56"/>
  <c r="BI54" i="56"/>
  <c r="BI46" i="56"/>
  <c r="BN52" i="56"/>
  <c r="BI38" i="56"/>
  <c r="BI43" i="56"/>
  <c r="BI52" i="56"/>
  <c r="BI47" i="56"/>
  <c r="BI48" i="56"/>
  <c r="BI49" i="56"/>
  <c r="BI50" i="56"/>
  <c r="BI51" i="56"/>
  <c r="BN53" i="56"/>
  <c r="BW67" i="56"/>
  <c r="BV67" i="56"/>
  <c r="BM67" i="56"/>
  <c r="BK67" i="56"/>
  <c r="BH67" i="56"/>
  <c r="BG67" i="56"/>
  <c r="BF67" i="56"/>
  <c r="BW66" i="56"/>
  <c r="BV66" i="56"/>
  <c r="BN66" i="56"/>
  <c r="BH66" i="56"/>
  <c r="BG66" i="56"/>
  <c r="BF66" i="56"/>
  <c r="BW65" i="56"/>
  <c r="BV65" i="56"/>
  <c r="BM65" i="56"/>
  <c r="BL65" i="56"/>
  <c r="BH65" i="56"/>
  <c r="BG65" i="56"/>
  <c r="BF65" i="56"/>
  <c r="BW64" i="56"/>
  <c r="BV64" i="56"/>
  <c r="BK64" i="56"/>
  <c r="BN64" i="56" s="1"/>
  <c r="BH64" i="56"/>
  <c r="BG64" i="56"/>
  <c r="BF64" i="56"/>
  <c r="BN63" i="56"/>
  <c r="BI63" i="56"/>
  <c r="BN62" i="56"/>
  <c r="BI62" i="56"/>
  <c r="BN61" i="56"/>
  <c r="BW60" i="56"/>
  <c r="BV60" i="56"/>
  <c r="BN60" i="56"/>
  <c r="BH60" i="56"/>
  <c r="BG60" i="56"/>
  <c r="BF60" i="56"/>
  <c r="BW59" i="56"/>
  <c r="BV59" i="56"/>
  <c r="BN59" i="56"/>
  <c r="BH59" i="56"/>
  <c r="BI59" i="56" s="1"/>
  <c r="BW58" i="56"/>
  <c r="BV58" i="56"/>
  <c r="BK58" i="56"/>
  <c r="BN58" i="56" s="1"/>
  <c r="BH58" i="56"/>
  <c r="BG58" i="56"/>
  <c r="BF58" i="56"/>
  <c r="BW57" i="56"/>
  <c r="BV57" i="56"/>
  <c r="BN57" i="56"/>
  <c r="BH57" i="56"/>
  <c r="BI57" i="56" s="1"/>
  <c r="BV56" i="56"/>
  <c r="BW56" i="56" s="1"/>
  <c r="BN56" i="56"/>
  <c r="BN67" i="56" l="1"/>
  <c r="BI58" i="56"/>
  <c r="BN65" i="56"/>
  <c r="BI64" i="56"/>
  <c r="BI67" i="56"/>
  <c r="BI60" i="56"/>
  <c r="BI65" i="56"/>
  <c r="BI66" i="56"/>
  <c r="AR328" i="56" l="1"/>
  <c r="AR327" i="56"/>
  <c r="AR326" i="56"/>
  <c r="AR325" i="56"/>
  <c r="AR324" i="56"/>
  <c r="AR323" i="56"/>
  <c r="AR322" i="56"/>
  <c r="AR321" i="56"/>
  <c r="AR320" i="56"/>
  <c r="AR319" i="56"/>
  <c r="AR318" i="56"/>
  <c r="AR317" i="56"/>
  <c r="AR316" i="56"/>
  <c r="AR315" i="56"/>
  <c r="AR314" i="56"/>
  <c r="AR313" i="56"/>
  <c r="AR312" i="56"/>
  <c r="AR311" i="56"/>
  <c r="BV302" i="56"/>
  <c r="BW302" i="56" s="1"/>
  <c r="BN302" i="56"/>
  <c r="BI302" i="56"/>
  <c r="BV301" i="56"/>
  <c r="BW301" i="56" s="1"/>
  <c r="BN301" i="56"/>
  <c r="BI301" i="56"/>
  <c r="BV300" i="56"/>
  <c r="BW300" i="56" s="1"/>
  <c r="BN300" i="56"/>
  <c r="BI300" i="56"/>
  <c r="BV299" i="56"/>
  <c r="BW299" i="56" s="1"/>
  <c r="BN299" i="56"/>
  <c r="BI299" i="56"/>
  <c r="BV298" i="56"/>
  <c r="BW298" i="56" s="1"/>
  <c r="BN298" i="56"/>
  <c r="BI298" i="56"/>
  <c r="BV297" i="56"/>
  <c r="BW297" i="56" s="1"/>
  <c r="BN297" i="56"/>
  <c r="BI297" i="56"/>
  <c r="BV296" i="56"/>
  <c r="BW296" i="56" s="1"/>
  <c r="BN296" i="56"/>
  <c r="BI296" i="56"/>
  <c r="BV295" i="56"/>
  <c r="BW295" i="56" s="1"/>
  <c r="BN295" i="56"/>
  <c r="BI295" i="56"/>
  <c r="BV294" i="56"/>
  <c r="BW294" i="56" s="1"/>
  <c r="BN294" i="56"/>
  <c r="BI294" i="56"/>
  <c r="BV293" i="56"/>
  <c r="BW293" i="56" s="1"/>
  <c r="BN293" i="56"/>
  <c r="BI293" i="56"/>
  <c r="BV292" i="56"/>
  <c r="BW292" i="56" s="1"/>
  <c r="BN292" i="56"/>
  <c r="BI292" i="56"/>
  <c r="BV291" i="56"/>
  <c r="BW291" i="56" s="1"/>
  <c r="BN291" i="56"/>
  <c r="BI291" i="56"/>
  <c r="BV290" i="56"/>
  <c r="BW290" i="56" s="1"/>
  <c r="BN290" i="56"/>
  <c r="BI290" i="56"/>
  <c r="BV289" i="56"/>
  <c r="BW289" i="56" s="1"/>
  <c r="BN289" i="56"/>
  <c r="BI289" i="56"/>
  <c r="BV288" i="56"/>
  <c r="BW288" i="56" s="1"/>
  <c r="BN288" i="56"/>
  <c r="BI288" i="56"/>
  <c r="BV285" i="56"/>
  <c r="BW285" i="56" s="1"/>
  <c r="BN285" i="56"/>
  <c r="BI285" i="56"/>
  <c r="BV284" i="56"/>
  <c r="BW284" i="56" s="1"/>
  <c r="BN284" i="56"/>
  <c r="BI284" i="56"/>
  <c r="BV283" i="56"/>
  <c r="BO283" i="56"/>
  <c r="BN283" i="56"/>
  <c r="BV282" i="56"/>
  <c r="BO282" i="56"/>
  <c r="BN282" i="56"/>
  <c r="BV281" i="56"/>
  <c r="BO281" i="56"/>
  <c r="BW281" i="56" s="1"/>
  <c r="BN281" i="56"/>
  <c r="BW280" i="56"/>
  <c r="BV280" i="56"/>
  <c r="BN280" i="56"/>
  <c r="BV279" i="56"/>
  <c r="BO279" i="56"/>
  <c r="BW279" i="56" s="1"/>
  <c r="BN279" i="56"/>
  <c r="BV278" i="56"/>
  <c r="BO278" i="56"/>
  <c r="BW278" i="56" s="1"/>
  <c r="BN278" i="56"/>
  <c r="BW277" i="56"/>
  <c r="BV277" i="56"/>
  <c r="BN277" i="56"/>
  <c r="BV276" i="56"/>
  <c r="BO276" i="56"/>
  <c r="BW276" i="56" s="1"/>
  <c r="BN276" i="56"/>
  <c r="BI276" i="56"/>
  <c r="BV275" i="56"/>
  <c r="BO275" i="56"/>
  <c r="BW275" i="56" s="1"/>
  <c r="BN275" i="56"/>
  <c r="BI275" i="56"/>
  <c r="BV274" i="56"/>
  <c r="BN274" i="56"/>
  <c r="BJ274" i="56"/>
  <c r="BO274" i="56" s="1"/>
  <c r="BW274" i="56" s="1"/>
  <c r="BI274" i="56"/>
  <c r="BV273" i="56"/>
  <c r="BN273" i="56"/>
  <c r="BJ273" i="56"/>
  <c r="BO273" i="56" s="1"/>
  <c r="BW273" i="56" s="1"/>
  <c r="BI273" i="56"/>
  <c r="BV272" i="56"/>
  <c r="BN272" i="56"/>
  <c r="BJ272" i="56"/>
  <c r="BO272" i="56" s="1"/>
  <c r="BW272" i="56" s="1"/>
  <c r="BI272" i="56"/>
  <c r="BV271" i="56"/>
  <c r="BO271" i="56"/>
  <c r="BW271" i="56" s="1"/>
  <c r="BN271" i="56"/>
  <c r="BW270" i="56"/>
  <c r="BV270" i="56"/>
  <c r="BN270" i="56"/>
  <c r="BV269" i="56"/>
  <c r="BO269" i="56"/>
  <c r="BW269" i="56" s="1"/>
  <c r="BN269" i="56"/>
  <c r="BV268" i="56"/>
  <c r="BO268" i="56"/>
  <c r="BW268" i="56" s="1"/>
  <c r="BN268" i="56"/>
  <c r="BW267" i="56"/>
  <c r="BV267" i="56"/>
  <c r="BN267" i="56"/>
  <c r="BV266" i="56"/>
  <c r="BO266" i="56"/>
  <c r="BW266" i="56" s="1"/>
  <c r="BN266" i="56"/>
  <c r="BI266" i="56"/>
  <c r="BV265" i="56"/>
  <c r="BO265" i="56"/>
  <c r="BW265" i="56" s="1"/>
  <c r="BN265" i="56"/>
  <c r="BI265" i="56"/>
  <c r="BV264" i="56"/>
  <c r="BO264" i="56"/>
  <c r="BW264" i="56" s="1"/>
  <c r="BN264" i="56"/>
  <c r="BI264" i="56"/>
  <c r="BV263" i="56"/>
  <c r="BO263" i="56"/>
  <c r="BW263" i="56" s="1"/>
  <c r="BN263" i="56"/>
  <c r="BI263" i="56"/>
  <c r="BV262" i="56"/>
  <c r="BO262" i="56"/>
  <c r="BW262" i="56" s="1"/>
  <c r="BN262" i="56"/>
  <c r="BI262" i="56"/>
  <c r="BV261" i="56"/>
  <c r="BO261" i="56"/>
  <c r="BW261" i="56" s="1"/>
  <c r="BN261" i="56"/>
  <c r="BI261" i="56"/>
  <c r="BV260" i="56"/>
  <c r="BO260" i="56"/>
  <c r="BW260" i="56" s="1"/>
  <c r="BN260" i="56"/>
  <c r="BI260" i="56"/>
  <c r="BV259" i="56"/>
  <c r="BO259" i="56"/>
  <c r="BW259" i="56" s="1"/>
  <c r="BN259" i="56"/>
  <c r="BI259" i="56"/>
  <c r="BW258" i="56"/>
  <c r="BV258" i="56"/>
  <c r="BN258" i="56"/>
  <c r="BV257" i="56"/>
  <c r="BO257" i="56"/>
  <c r="BW257" i="56" s="1"/>
  <c r="BN257" i="56"/>
  <c r="BI257" i="56"/>
  <c r="BV256" i="56"/>
  <c r="BO256" i="56"/>
  <c r="BW256" i="56" s="1"/>
  <c r="BN256" i="56"/>
  <c r="BI256" i="56"/>
  <c r="BV255" i="56"/>
  <c r="BO255" i="56"/>
  <c r="BW255" i="56" s="1"/>
  <c r="BN255" i="56"/>
  <c r="BI255" i="56"/>
  <c r="BV254" i="56"/>
  <c r="BO254" i="56"/>
  <c r="BW254" i="56" s="1"/>
  <c r="BN254" i="56"/>
  <c r="BV253" i="56"/>
  <c r="BO253" i="56"/>
  <c r="BW253" i="56" s="1"/>
  <c r="BN253" i="56"/>
  <c r="BI253" i="56"/>
  <c r="BW252" i="56"/>
  <c r="BV252" i="56"/>
  <c r="BN252" i="56"/>
  <c r="BI252" i="56"/>
  <c r="BV251" i="56"/>
  <c r="BO251" i="56"/>
  <c r="BW251" i="56" s="1"/>
  <c r="BN251" i="56"/>
  <c r="BW250" i="56"/>
  <c r="BV250" i="56"/>
  <c r="BN250" i="56"/>
  <c r="BV249" i="56"/>
  <c r="BO249" i="56"/>
  <c r="BW249" i="56" s="1"/>
  <c r="BN249" i="56"/>
  <c r="BI249" i="56"/>
  <c r="BV248" i="56"/>
  <c r="BO248" i="56"/>
  <c r="BW248" i="56" s="1"/>
  <c r="BN248" i="56"/>
  <c r="BI248" i="56"/>
  <c r="BV247" i="56"/>
  <c r="BO247" i="56"/>
  <c r="BW247" i="56" s="1"/>
  <c r="BN247" i="56"/>
  <c r="BI247" i="56"/>
  <c r="BV246" i="56"/>
  <c r="BO246" i="56"/>
  <c r="BW246" i="56" s="1"/>
  <c r="BN246" i="56"/>
  <c r="BI246" i="56"/>
  <c r="BW245" i="56"/>
  <c r="BV245" i="56"/>
  <c r="BN245" i="56"/>
  <c r="BW244" i="56"/>
  <c r="BV244" i="56"/>
  <c r="BN244" i="56"/>
  <c r="BW243" i="56"/>
  <c r="BV243" i="56"/>
  <c r="BN243" i="56"/>
  <c r="BW242" i="56"/>
  <c r="BV242" i="56"/>
  <c r="BN242" i="56"/>
  <c r="BW241" i="56"/>
  <c r="BV241" i="56"/>
  <c r="BN241" i="56"/>
  <c r="BV240" i="56"/>
  <c r="BO240" i="56"/>
  <c r="BW240" i="56" s="1"/>
  <c r="BN240" i="56"/>
  <c r="BI240" i="56"/>
  <c r="BV239" i="56"/>
  <c r="BN239" i="56"/>
  <c r="BJ239" i="56"/>
  <c r="BO239" i="56" s="1"/>
  <c r="BW239" i="56" s="1"/>
  <c r="BI239" i="56"/>
  <c r="BV238" i="56"/>
  <c r="BO238" i="56"/>
  <c r="BW238" i="56" s="1"/>
  <c r="BN238" i="56"/>
  <c r="BI238" i="56"/>
  <c r="BW237" i="56"/>
  <c r="BV237" i="56"/>
  <c r="BN237" i="56"/>
  <c r="BV236" i="56"/>
  <c r="BO236" i="56"/>
  <c r="BW236" i="56" s="1"/>
  <c r="BN236" i="56"/>
  <c r="BI236" i="56"/>
  <c r="BV235" i="56"/>
  <c r="BO235" i="56"/>
  <c r="BW235" i="56" s="1"/>
  <c r="BN235" i="56"/>
  <c r="BI235" i="56"/>
  <c r="BV234" i="56"/>
  <c r="BO234" i="56"/>
  <c r="BW234" i="56" s="1"/>
  <c r="BN234" i="56"/>
  <c r="BI234" i="56"/>
  <c r="BV233" i="56"/>
  <c r="BN233" i="56"/>
  <c r="BJ233" i="56"/>
  <c r="BO233" i="56" s="1"/>
  <c r="BW233" i="56" s="1"/>
  <c r="BI233" i="56"/>
  <c r="BV232" i="56"/>
  <c r="BO232" i="56"/>
  <c r="BW232" i="56" s="1"/>
  <c r="BN232" i="56"/>
  <c r="BV231" i="56"/>
  <c r="BO231" i="56"/>
  <c r="BW231" i="56" s="1"/>
  <c r="BN231" i="56"/>
  <c r="BI231" i="56"/>
  <c r="BW230" i="56"/>
  <c r="BV230" i="56"/>
  <c r="BN230" i="56"/>
  <c r="BV229" i="56"/>
  <c r="BO229" i="56"/>
  <c r="BW229" i="56" s="1"/>
  <c r="BN229" i="56"/>
  <c r="BV228" i="56"/>
  <c r="BO228" i="56"/>
  <c r="BW228" i="56" s="1"/>
  <c r="BN228" i="56"/>
  <c r="BV227" i="56"/>
  <c r="BO227" i="56"/>
  <c r="BW227" i="56" s="1"/>
  <c r="BN227" i="56"/>
  <c r="BV226" i="56"/>
  <c r="BO226" i="56"/>
  <c r="BW226" i="56" s="1"/>
  <c r="BN226" i="56"/>
  <c r="BV225" i="56"/>
  <c r="BO225" i="56"/>
  <c r="BW225" i="56" s="1"/>
  <c r="BN225" i="56"/>
  <c r="BI225" i="56"/>
  <c r="BV224" i="56"/>
  <c r="BO224" i="56"/>
  <c r="BW224" i="56" s="1"/>
  <c r="BN224" i="56"/>
  <c r="BI224" i="56"/>
  <c r="BW223" i="56"/>
  <c r="BV223" i="56"/>
  <c r="BN223" i="56"/>
  <c r="BV222" i="56"/>
  <c r="BO222" i="56"/>
  <c r="BW222" i="56" s="1"/>
  <c r="BN222" i="56"/>
  <c r="BI222" i="56"/>
  <c r="BV221" i="56"/>
  <c r="BO221" i="56"/>
  <c r="BW221" i="56" s="1"/>
  <c r="BN221" i="56"/>
  <c r="BI221" i="56"/>
  <c r="BV220" i="56"/>
  <c r="BO220" i="56"/>
  <c r="BW220" i="56" s="1"/>
  <c r="BN220" i="56"/>
  <c r="BI220" i="56"/>
  <c r="BV219" i="56"/>
  <c r="BO219" i="56"/>
  <c r="BW219" i="56" s="1"/>
  <c r="BN219" i="56"/>
  <c r="BV218" i="56"/>
  <c r="BO218" i="56"/>
  <c r="BW218" i="56" s="1"/>
  <c r="BN218" i="56"/>
  <c r="BI218" i="56"/>
  <c r="BV217" i="56"/>
  <c r="BO217" i="56"/>
  <c r="BW217" i="56" s="1"/>
  <c r="BN217" i="56"/>
  <c r="BV216" i="56"/>
  <c r="BO216" i="56"/>
  <c r="BW216" i="56" s="1"/>
  <c r="BN216" i="56"/>
  <c r="BI216" i="56"/>
  <c r="BW215" i="56"/>
  <c r="BV215" i="56"/>
  <c r="BN215" i="56"/>
  <c r="BW214" i="56"/>
  <c r="BV214" i="56"/>
  <c r="BN214" i="56"/>
  <c r="BW213" i="56"/>
  <c r="BV213" i="56"/>
  <c r="BN213" i="56"/>
  <c r="BV212" i="56"/>
  <c r="BO212" i="56"/>
  <c r="BW212" i="56" s="1"/>
  <c r="BN212" i="56"/>
  <c r="BI212" i="56"/>
  <c r="BW211" i="56"/>
  <c r="BV211" i="56"/>
  <c r="BN211" i="56"/>
  <c r="BW210" i="56"/>
  <c r="BV210" i="56"/>
  <c r="BN210" i="56"/>
  <c r="BV209" i="56"/>
  <c r="BO209" i="56"/>
  <c r="BW209" i="56" s="1"/>
  <c r="BN209" i="56"/>
  <c r="BV208" i="56"/>
  <c r="BO208" i="56"/>
  <c r="BW208" i="56" s="1"/>
  <c r="BN208" i="56"/>
  <c r="BV207" i="56"/>
  <c r="BO207" i="56"/>
  <c r="BW207" i="56" s="1"/>
  <c r="BN207" i="56"/>
  <c r="BV206" i="56"/>
  <c r="BO206" i="56"/>
  <c r="BW206" i="56" s="1"/>
  <c r="BN206" i="56"/>
  <c r="BV205" i="56"/>
  <c r="BO205" i="56"/>
  <c r="BW205" i="56" s="1"/>
  <c r="BN205" i="56"/>
  <c r="BI205" i="56"/>
  <c r="BV204" i="56"/>
  <c r="BO204" i="56"/>
  <c r="BW204" i="56" s="1"/>
  <c r="BN204" i="56"/>
  <c r="BV203" i="56"/>
  <c r="BO203" i="56"/>
  <c r="BW203" i="56" s="1"/>
  <c r="BN203" i="56"/>
  <c r="BV202" i="56"/>
  <c r="BO202" i="56"/>
  <c r="BW202" i="56" s="1"/>
  <c r="BN202" i="56"/>
  <c r="BV201" i="56"/>
  <c r="BO201" i="56"/>
  <c r="BW201" i="56" s="1"/>
  <c r="BN201" i="56"/>
  <c r="BV200" i="56"/>
  <c r="BO200" i="56"/>
  <c r="BW200" i="56" s="1"/>
  <c r="BN200" i="56"/>
  <c r="BV199" i="56"/>
  <c r="BO199" i="56"/>
  <c r="BW199" i="56" s="1"/>
  <c r="BN199" i="56"/>
  <c r="BV198" i="56"/>
  <c r="BO198" i="56"/>
  <c r="BW198" i="56" s="1"/>
  <c r="BN198" i="56"/>
  <c r="BV197" i="56"/>
  <c r="BO197" i="56"/>
  <c r="BW197" i="56" s="1"/>
  <c r="BN197" i="56"/>
  <c r="BV196" i="56"/>
  <c r="BO196" i="56"/>
  <c r="BW196" i="56" s="1"/>
  <c r="BN196" i="56"/>
  <c r="BV195" i="56"/>
  <c r="BO195" i="56"/>
  <c r="BW195" i="56" s="1"/>
  <c r="BN195" i="56"/>
  <c r="BI195" i="56"/>
  <c r="BV194" i="56"/>
  <c r="BN194" i="56"/>
  <c r="BW194" i="56" s="1"/>
  <c r="BV193" i="56"/>
  <c r="BO193" i="56"/>
  <c r="BW193" i="56" s="1"/>
  <c r="BN193" i="56"/>
  <c r="BV192" i="56"/>
  <c r="BO192" i="56"/>
  <c r="BW192" i="56" s="1"/>
  <c r="BN192" i="56"/>
  <c r="BI192" i="56"/>
  <c r="BV191" i="56"/>
  <c r="BO191" i="56"/>
  <c r="BW191" i="56" s="1"/>
  <c r="BN191" i="56"/>
  <c r="BI191" i="56"/>
  <c r="BV190" i="56"/>
  <c r="BN190" i="56"/>
  <c r="BJ190" i="56"/>
  <c r="BO190" i="56" s="1"/>
  <c r="BW190" i="56" s="1"/>
  <c r="BI190" i="56"/>
  <c r="BV189" i="56"/>
  <c r="BO189" i="56"/>
  <c r="BW189" i="56" s="1"/>
  <c r="BN189" i="56"/>
  <c r="BI189" i="56"/>
  <c r="BV188" i="56"/>
  <c r="BO188" i="56"/>
  <c r="BW188" i="56" s="1"/>
  <c r="BN188" i="56"/>
  <c r="BI188" i="56"/>
  <c r="BV187" i="56"/>
  <c r="BO187" i="56"/>
  <c r="BW187" i="56" s="1"/>
  <c r="BN187" i="56"/>
  <c r="BI187" i="56"/>
  <c r="BV186" i="56"/>
  <c r="BO186" i="56"/>
  <c r="BW186" i="56" s="1"/>
  <c r="BN186" i="56"/>
  <c r="BV185" i="56"/>
  <c r="BO185" i="56"/>
  <c r="BW185" i="56" s="1"/>
  <c r="BN185" i="56"/>
  <c r="BW184" i="56"/>
  <c r="BV184" i="56"/>
  <c r="BN184" i="56"/>
  <c r="BV183" i="56"/>
  <c r="BO183" i="56"/>
  <c r="BW183" i="56" s="1"/>
  <c r="BN183" i="56"/>
  <c r="BW179" i="56"/>
  <c r="BV179" i="56"/>
  <c r="BN179" i="56"/>
  <c r="BV178" i="56"/>
  <c r="BO178" i="56"/>
  <c r="BW178" i="56" s="1"/>
  <c r="BN178" i="56"/>
  <c r="BW177" i="56"/>
  <c r="BV177" i="56"/>
  <c r="BN177" i="56"/>
  <c r="BW176" i="56"/>
  <c r="BV176" i="56"/>
  <c r="BN176" i="56"/>
  <c r="BV175" i="56"/>
  <c r="BO175" i="56"/>
  <c r="BW175" i="56" s="1"/>
  <c r="BN175" i="56"/>
  <c r="BV174" i="56"/>
  <c r="BO174" i="56"/>
  <c r="BW174" i="56" s="1"/>
  <c r="BN174" i="56"/>
  <c r="BV173" i="56"/>
  <c r="BM173" i="56"/>
  <c r="BL173" i="56"/>
  <c r="BK173" i="56"/>
  <c r="BJ173" i="56"/>
  <c r="BO173" i="56" s="1"/>
  <c r="BW173" i="56" s="1"/>
  <c r="BH173" i="56"/>
  <c r="BG173" i="56"/>
  <c r="BF173" i="56"/>
  <c r="BV172" i="56"/>
  <c r="BM172" i="56"/>
  <c r="BL172" i="56"/>
  <c r="BK172" i="56"/>
  <c r="BJ172" i="56"/>
  <c r="BO172" i="56" s="1"/>
  <c r="BW172" i="56" s="1"/>
  <c r="BH172" i="56"/>
  <c r="BG172" i="56"/>
  <c r="BF172" i="56"/>
  <c r="BV171" i="56"/>
  <c r="BM171" i="56"/>
  <c r="BL171" i="56"/>
  <c r="BK171" i="56"/>
  <c r="BJ171" i="56"/>
  <c r="BO171" i="56" s="1"/>
  <c r="BW171" i="56" s="1"/>
  <c r="BH171" i="56"/>
  <c r="BG171" i="56"/>
  <c r="BF171" i="56"/>
  <c r="BV170" i="56"/>
  <c r="BM170" i="56"/>
  <c r="BL170" i="56"/>
  <c r="BK170" i="56"/>
  <c r="BJ170" i="56"/>
  <c r="BO170" i="56" s="1"/>
  <c r="BW170" i="56" s="1"/>
  <c r="BH170" i="56"/>
  <c r="BG170" i="56"/>
  <c r="BF170" i="56"/>
  <c r="BV169" i="56"/>
  <c r="BM169" i="56"/>
  <c r="BL169" i="56"/>
  <c r="BK169" i="56"/>
  <c r="BJ169" i="56"/>
  <c r="BO169" i="56" s="1"/>
  <c r="BW169" i="56" s="1"/>
  <c r="BV168" i="56"/>
  <c r="BM168" i="56"/>
  <c r="BL168" i="56"/>
  <c r="BK168" i="56"/>
  <c r="BJ168" i="56"/>
  <c r="BO168" i="56" s="1"/>
  <c r="BW168" i="56" s="1"/>
  <c r="BH168" i="56"/>
  <c r="BG168" i="56"/>
  <c r="BF168" i="56"/>
  <c r="BV167" i="56"/>
  <c r="BO167" i="56"/>
  <c r="BW167" i="56" s="1"/>
  <c r="BM167" i="56"/>
  <c r="BL167" i="56"/>
  <c r="BK167" i="56"/>
  <c r="BV166" i="56"/>
  <c r="BO166" i="56"/>
  <c r="BW166" i="56" s="1"/>
  <c r="BM166" i="56"/>
  <c r="BL166" i="56"/>
  <c r="BK166" i="56"/>
  <c r="BV165" i="56"/>
  <c r="BO165" i="56"/>
  <c r="BW165" i="56" s="1"/>
  <c r="BM165" i="56"/>
  <c r="BL165" i="56"/>
  <c r="BK165" i="56"/>
  <c r="BV164" i="56"/>
  <c r="BO164" i="56"/>
  <c r="BW164" i="56" s="1"/>
  <c r="BM164" i="56"/>
  <c r="BL164" i="56"/>
  <c r="BK164" i="56"/>
  <c r="BV163" i="56"/>
  <c r="BO163" i="56"/>
  <c r="BW163" i="56" s="1"/>
  <c r="BM163" i="56"/>
  <c r="BL163" i="56"/>
  <c r="BK163" i="56"/>
  <c r="BV162" i="56"/>
  <c r="BO162" i="56"/>
  <c r="BW162" i="56" s="1"/>
  <c r="BM162" i="56"/>
  <c r="BL162" i="56"/>
  <c r="BK162" i="56"/>
  <c r="BV161" i="56"/>
  <c r="BO161" i="56"/>
  <c r="BW161" i="56" s="1"/>
  <c r="BM161" i="56"/>
  <c r="BL161" i="56"/>
  <c r="BK161" i="56"/>
  <c r="BV160" i="56"/>
  <c r="BM160" i="56"/>
  <c r="BL160" i="56"/>
  <c r="BK160" i="56"/>
  <c r="BJ160" i="56"/>
  <c r="BO160" i="56" s="1"/>
  <c r="BW160" i="56" s="1"/>
  <c r="BH160" i="56"/>
  <c r="BG160" i="56"/>
  <c r="BF160" i="56"/>
  <c r="BV159" i="56"/>
  <c r="BM159" i="56"/>
  <c r="BL159" i="56"/>
  <c r="BK159" i="56"/>
  <c r="BJ159" i="56"/>
  <c r="BO159" i="56" s="1"/>
  <c r="BW159" i="56" s="1"/>
  <c r="BH159" i="56"/>
  <c r="BG159" i="56"/>
  <c r="BF159" i="56"/>
  <c r="BV158" i="56"/>
  <c r="BO158" i="56"/>
  <c r="BW158" i="56" s="1"/>
  <c r="BM158" i="56"/>
  <c r="BL158" i="56"/>
  <c r="BK158" i="56"/>
  <c r="BV157" i="56"/>
  <c r="BM157" i="56"/>
  <c r="BL157" i="56"/>
  <c r="BK157" i="56"/>
  <c r="BJ157" i="56"/>
  <c r="BO157" i="56" s="1"/>
  <c r="BW157" i="56" s="1"/>
  <c r="BI157" i="56"/>
  <c r="BV156" i="56"/>
  <c r="BM156" i="56"/>
  <c r="BL156" i="56"/>
  <c r="BK156" i="56"/>
  <c r="BJ156" i="56"/>
  <c r="BO156" i="56" s="1"/>
  <c r="BW156" i="56" s="1"/>
  <c r="BH156" i="56"/>
  <c r="BG156" i="56"/>
  <c r="BF156" i="56"/>
  <c r="BV155" i="56"/>
  <c r="BM155" i="56"/>
  <c r="BL155" i="56"/>
  <c r="BK155" i="56"/>
  <c r="BJ155" i="56"/>
  <c r="BO155" i="56" s="1"/>
  <c r="BW155" i="56" s="1"/>
  <c r="BH155" i="56"/>
  <c r="BG155" i="56"/>
  <c r="BF155" i="56"/>
  <c r="BV154" i="56"/>
  <c r="BM154" i="56"/>
  <c r="BL154" i="56"/>
  <c r="BK154" i="56"/>
  <c r="BJ154" i="56"/>
  <c r="BO154" i="56" s="1"/>
  <c r="BW154" i="56" s="1"/>
  <c r="BI154" i="56"/>
  <c r="BV153" i="56"/>
  <c r="BO153" i="56"/>
  <c r="BW153" i="56" s="1"/>
  <c r="BM153" i="56"/>
  <c r="BL153" i="56"/>
  <c r="BK153" i="56"/>
  <c r="BV139" i="56"/>
  <c r="BO139" i="56"/>
  <c r="BW139" i="56" s="1"/>
  <c r="BM139" i="56"/>
  <c r="BL139" i="56"/>
  <c r="BK139" i="56"/>
  <c r="BV138" i="56"/>
  <c r="BM138" i="56"/>
  <c r="BL138" i="56"/>
  <c r="BK138" i="56"/>
  <c r="BJ138" i="56"/>
  <c r="BO138" i="56" s="1"/>
  <c r="BW138" i="56" s="1"/>
  <c r="BH138" i="56"/>
  <c r="BG138" i="56"/>
  <c r="BF138" i="56"/>
  <c r="BV137" i="56"/>
  <c r="BO137" i="56"/>
  <c r="BW137" i="56" s="1"/>
  <c r="BM137" i="56"/>
  <c r="BL137" i="56"/>
  <c r="BK137" i="56"/>
  <c r="BV136" i="56"/>
  <c r="BM136" i="56"/>
  <c r="BL136" i="56"/>
  <c r="BK136" i="56"/>
  <c r="BJ136" i="56"/>
  <c r="BO136" i="56" s="1"/>
  <c r="BW136" i="56" s="1"/>
  <c r="BH136" i="56"/>
  <c r="BG136" i="56"/>
  <c r="BF136" i="56"/>
  <c r="BV135" i="56"/>
  <c r="BM135" i="56"/>
  <c r="BL135" i="56"/>
  <c r="BK135" i="56"/>
  <c r="BJ135" i="56"/>
  <c r="BO135" i="56" s="1"/>
  <c r="BW135" i="56" s="1"/>
  <c r="BH135" i="56"/>
  <c r="BG135" i="56"/>
  <c r="BF135" i="56"/>
  <c r="BV134" i="56"/>
  <c r="BM134" i="56"/>
  <c r="BL134" i="56"/>
  <c r="BK134" i="56"/>
  <c r="BJ134" i="56"/>
  <c r="BO134" i="56" s="1"/>
  <c r="BW134" i="56" s="1"/>
  <c r="BH134" i="56"/>
  <c r="BG134" i="56"/>
  <c r="BF134" i="56"/>
  <c r="BV133" i="56"/>
  <c r="BM133" i="56"/>
  <c r="BL133" i="56"/>
  <c r="BK133" i="56"/>
  <c r="BJ133" i="56"/>
  <c r="BO133" i="56" s="1"/>
  <c r="BW133" i="56" s="1"/>
  <c r="BH133" i="56"/>
  <c r="BG133" i="56"/>
  <c r="BF133" i="56"/>
  <c r="BV132" i="56"/>
  <c r="BM132" i="56"/>
  <c r="BL132" i="56"/>
  <c r="BK132" i="56"/>
  <c r="BJ132" i="56"/>
  <c r="BO132" i="56" s="1"/>
  <c r="BW132" i="56" s="1"/>
  <c r="BH132" i="56"/>
  <c r="BG132" i="56"/>
  <c r="BF132" i="56"/>
  <c r="BV131" i="56"/>
  <c r="BM131" i="56"/>
  <c r="BL131" i="56"/>
  <c r="BK131" i="56"/>
  <c r="BJ131" i="56"/>
  <c r="BO131" i="56" s="1"/>
  <c r="BW131" i="56" s="1"/>
  <c r="BH131" i="56"/>
  <c r="BG131" i="56"/>
  <c r="BF131" i="56"/>
  <c r="BV130" i="56"/>
  <c r="BM130" i="56"/>
  <c r="BL130" i="56"/>
  <c r="BK130" i="56"/>
  <c r="BJ130" i="56"/>
  <c r="BO130" i="56" s="1"/>
  <c r="BW130" i="56" s="1"/>
  <c r="BH130" i="56"/>
  <c r="BG130" i="56"/>
  <c r="BF130" i="56"/>
  <c r="BV129" i="56"/>
  <c r="BM129" i="56"/>
  <c r="BL129" i="56"/>
  <c r="BK129" i="56"/>
  <c r="BJ129" i="56"/>
  <c r="BO129" i="56" s="1"/>
  <c r="BW129" i="56" s="1"/>
  <c r="BH129" i="56"/>
  <c r="BG129" i="56"/>
  <c r="BF129" i="56"/>
  <c r="BV128" i="56"/>
  <c r="BM128" i="56"/>
  <c r="BL128" i="56"/>
  <c r="BK128" i="56"/>
  <c r="BJ128" i="56"/>
  <c r="BO128" i="56" s="1"/>
  <c r="BW128" i="56" s="1"/>
  <c r="BH128" i="56"/>
  <c r="BG128" i="56"/>
  <c r="BF128" i="56"/>
  <c r="BV127" i="56"/>
  <c r="BM127" i="56"/>
  <c r="BL127" i="56"/>
  <c r="BK127" i="56"/>
  <c r="BJ127" i="56"/>
  <c r="BO127" i="56" s="1"/>
  <c r="BW127" i="56" s="1"/>
  <c r="BH127" i="56"/>
  <c r="BG127" i="56"/>
  <c r="BF127" i="56"/>
  <c r="BV126" i="56"/>
  <c r="BM126" i="56"/>
  <c r="BL126" i="56"/>
  <c r="BK126" i="56"/>
  <c r="BJ126" i="56"/>
  <c r="BW126" i="56" s="1"/>
  <c r="BH126" i="56"/>
  <c r="BG126" i="56"/>
  <c r="BF126" i="56"/>
  <c r="BV125" i="56"/>
  <c r="BM125" i="56"/>
  <c r="BL125" i="56"/>
  <c r="BK125" i="56"/>
  <c r="BJ125" i="56"/>
  <c r="BO125" i="56" s="1"/>
  <c r="BW125" i="56" s="1"/>
  <c r="BH125" i="56"/>
  <c r="BG125" i="56"/>
  <c r="BF125" i="56"/>
  <c r="BV124" i="56"/>
  <c r="BM124" i="56"/>
  <c r="BL124" i="56"/>
  <c r="BK124" i="56"/>
  <c r="BJ124" i="56"/>
  <c r="BO124" i="56" s="1"/>
  <c r="BW124" i="56" s="1"/>
  <c r="BH124" i="56"/>
  <c r="BG124" i="56"/>
  <c r="BF124" i="56"/>
  <c r="BV123" i="56"/>
  <c r="BM123" i="56"/>
  <c r="BL123" i="56"/>
  <c r="BK123" i="56"/>
  <c r="BJ123" i="56"/>
  <c r="BO123" i="56" s="1"/>
  <c r="BW123" i="56" s="1"/>
  <c r="BH123" i="56"/>
  <c r="BG123" i="56"/>
  <c r="BF123" i="56"/>
  <c r="BV122" i="56"/>
  <c r="BM122" i="56"/>
  <c r="BL122" i="56"/>
  <c r="BK122" i="56"/>
  <c r="BJ122" i="56"/>
  <c r="BO122" i="56" s="1"/>
  <c r="BW122" i="56" s="1"/>
  <c r="BH122" i="56"/>
  <c r="BG122" i="56"/>
  <c r="BF122" i="56"/>
  <c r="BV121" i="56"/>
  <c r="BM121" i="56"/>
  <c r="BL121" i="56"/>
  <c r="BK121" i="56"/>
  <c r="BJ121" i="56"/>
  <c r="BO121" i="56" s="1"/>
  <c r="BW121" i="56" s="1"/>
  <c r="BH121" i="56"/>
  <c r="BG121" i="56"/>
  <c r="BF121" i="56"/>
  <c r="BV120" i="56"/>
  <c r="BM120" i="56"/>
  <c r="BL120" i="56"/>
  <c r="BK120" i="56"/>
  <c r="BJ120" i="56"/>
  <c r="BO120" i="56" s="1"/>
  <c r="BW120" i="56" s="1"/>
  <c r="BH120" i="56"/>
  <c r="BG120" i="56"/>
  <c r="BF120" i="56"/>
  <c r="BV119" i="56"/>
  <c r="BM119" i="56"/>
  <c r="BL119" i="56"/>
  <c r="BK119" i="56"/>
  <c r="BJ119" i="56"/>
  <c r="BO119" i="56" s="1"/>
  <c r="BW119" i="56" s="1"/>
  <c r="BH119" i="56"/>
  <c r="BG119" i="56"/>
  <c r="BF119" i="56"/>
  <c r="BV118" i="56"/>
  <c r="BM118" i="56"/>
  <c r="BL118" i="56"/>
  <c r="BK118" i="56"/>
  <c r="BJ118" i="56"/>
  <c r="BO118" i="56" s="1"/>
  <c r="BW118" i="56" s="1"/>
  <c r="BH118" i="56"/>
  <c r="BG118" i="56"/>
  <c r="BF118" i="56"/>
  <c r="BV117" i="56"/>
  <c r="BM117" i="56"/>
  <c r="BL117" i="56"/>
  <c r="BK117" i="56"/>
  <c r="BJ117" i="56"/>
  <c r="BO117" i="56" s="1"/>
  <c r="BW117" i="56" s="1"/>
  <c r="BH117" i="56"/>
  <c r="BG117" i="56"/>
  <c r="BF117" i="56"/>
  <c r="BV116" i="56"/>
  <c r="BM116" i="56"/>
  <c r="BL116" i="56"/>
  <c r="BK116" i="56"/>
  <c r="BJ116" i="56"/>
  <c r="BO116" i="56" s="1"/>
  <c r="BW116" i="56" s="1"/>
  <c r="BH116" i="56"/>
  <c r="BG116" i="56"/>
  <c r="BF116" i="56"/>
  <c r="BV115" i="56"/>
  <c r="BM115" i="56"/>
  <c r="BL115" i="56"/>
  <c r="BK115" i="56"/>
  <c r="BJ115" i="56"/>
  <c r="BH115" i="56"/>
  <c r="BG115" i="56"/>
  <c r="BF115" i="56"/>
  <c r="BV114" i="56"/>
  <c r="BW114" i="56" s="1"/>
  <c r="BO114" i="56"/>
  <c r="BM114" i="56"/>
  <c r="BL114" i="56"/>
  <c r="BK114" i="56"/>
  <c r="BV113" i="56"/>
  <c r="BJ113" i="56"/>
  <c r="BH113" i="56"/>
  <c r="BG113" i="56"/>
  <c r="BF113" i="56"/>
  <c r="BW111" i="56"/>
  <c r="BV111" i="56"/>
  <c r="BL111" i="56"/>
  <c r="BN111" i="56" s="1"/>
  <c r="BH111" i="56"/>
  <c r="BG111" i="56"/>
  <c r="BF111" i="56"/>
  <c r="BW110" i="56"/>
  <c r="BV110" i="56"/>
  <c r="BN110" i="56"/>
  <c r="BJ110" i="56"/>
  <c r="BH110" i="56"/>
  <c r="BG110" i="56"/>
  <c r="BF110" i="56"/>
  <c r="BW109" i="56"/>
  <c r="BV109" i="56"/>
  <c r="BL109" i="56"/>
  <c r="BK109" i="56"/>
  <c r="BJ109" i="56"/>
  <c r="BH109" i="56"/>
  <c r="BG109" i="56"/>
  <c r="BF109" i="56"/>
  <c r="BW108" i="56"/>
  <c r="BV108" i="56"/>
  <c r="BK108" i="56"/>
  <c r="BN108" i="56" s="1"/>
  <c r="BJ108" i="56"/>
  <c r="BH108" i="56"/>
  <c r="BG108" i="56"/>
  <c r="BF108" i="56"/>
  <c r="BW107" i="56"/>
  <c r="BV107" i="56"/>
  <c r="BN107" i="56"/>
  <c r="BJ107" i="56"/>
  <c r="BH107" i="56"/>
  <c r="BG107" i="56"/>
  <c r="BF107" i="56"/>
  <c r="BW106" i="56"/>
  <c r="BV106" i="56"/>
  <c r="BN106" i="56"/>
  <c r="BJ106" i="56"/>
  <c r="BH106" i="56"/>
  <c r="BG106" i="56"/>
  <c r="BF106" i="56"/>
  <c r="BW105" i="56"/>
  <c r="BV105" i="56"/>
  <c r="BK105" i="56"/>
  <c r="BN105" i="56" s="1"/>
  <c r="BJ105" i="56"/>
  <c r="BH105" i="56"/>
  <c r="BG105" i="56"/>
  <c r="BF105" i="56"/>
  <c r="BW104" i="56"/>
  <c r="BV104" i="56"/>
  <c r="BN104" i="56"/>
  <c r="BJ104" i="56"/>
  <c r="BH104" i="56"/>
  <c r="BG104" i="56"/>
  <c r="BF104" i="56"/>
  <c r="BW103" i="56"/>
  <c r="BV103" i="56"/>
  <c r="BN103" i="56"/>
  <c r="BJ103" i="56"/>
  <c r="BH103" i="56"/>
  <c r="BG103" i="56"/>
  <c r="BF103" i="56"/>
  <c r="BW102" i="56"/>
  <c r="BV102" i="56"/>
  <c r="BN102" i="56"/>
  <c r="BH102" i="56"/>
  <c r="BG102" i="56"/>
  <c r="BF102" i="56"/>
  <c r="BW101" i="56"/>
  <c r="BV101" i="56"/>
  <c r="BN101" i="56"/>
  <c r="BJ101" i="56"/>
  <c r="BH101" i="56"/>
  <c r="BG101" i="56"/>
  <c r="BF101" i="56"/>
  <c r="BW100" i="56"/>
  <c r="BV100" i="56"/>
  <c r="BN100" i="56"/>
  <c r="BJ100" i="56"/>
  <c r="BH100" i="56"/>
  <c r="BG100" i="56"/>
  <c r="BF100" i="56"/>
  <c r="BW99" i="56"/>
  <c r="BV99" i="56"/>
  <c r="BI99" i="56"/>
  <c r="BV98" i="56"/>
  <c r="BM98" i="56"/>
  <c r="BL98" i="56"/>
  <c r="BK98" i="56"/>
  <c r="BH98" i="56"/>
  <c r="BG98" i="56"/>
  <c r="BF98" i="56"/>
  <c r="BV97" i="56"/>
  <c r="BM97" i="56"/>
  <c r="BL97" i="56"/>
  <c r="BK97" i="56"/>
  <c r="BH97" i="56"/>
  <c r="BG97" i="56"/>
  <c r="BF97" i="56"/>
  <c r="BV96" i="56"/>
  <c r="BO96" i="56"/>
  <c r="BM96" i="56"/>
  <c r="BL96" i="56"/>
  <c r="BK96" i="56"/>
  <c r="BJ96" i="56"/>
  <c r="BH96" i="56"/>
  <c r="BG96" i="56"/>
  <c r="BF96" i="56"/>
  <c r="BE96" i="56"/>
  <c r="BW96" i="56" s="1"/>
  <c r="BV95" i="56"/>
  <c r="BM95" i="56"/>
  <c r="BL95" i="56"/>
  <c r="BK95" i="56"/>
  <c r="BJ95" i="56"/>
  <c r="BH95" i="56"/>
  <c r="BG95" i="56"/>
  <c r="BF95" i="56"/>
  <c r="BE95" i="56"/>
  <c r="BW95" i="56" s="1"/>
  <c r="BV94" i="56"/>
  <c r="BM94" i="56"/>
  <c r="BL94" i="56"/>
  <c r="BK94" i="56"/>
  <c r="BJ94" i="56"/>
  <c r="BH94" i="56"/>
  <c r="BG94" i="56"/>
  <c r="BF94" i="56"/>
  <c r="BE94" i="56"/>
  <c r="BW94" i="56" s="1"/>
  <c r="BV93" i="56"/>
  <c r="BL93" i="56"/>
  <c r="BK93" i="56"/>
  <c r="BJ93" i="56"/>
  <c r="BH93" i="56"/>
  <c r="BG93" i="56"/>
  <c r="BF93" i="56"/>
  <c r="BE93" i="56"/>
  <c r="BW93" i="56" s="1"/>
  <c r="BW92" i="56"/>
  <c r="BV92" i="56"/>
  <c r="BN92" i="56"/>
  <c r="BH92" i="56"/>
  <c r="BG92" i="56"/>
  <c r="BF92" i="56"/>
  <c r="BV91" i="56"/>
  <c r="BN91" i="56"/>
  <c r="BH91" i="56"/>
  <c r="BF91" i="56"/>
  <c r="BE91" i="56"/>
  <c r="BW91" i="56" s="1"/>
  <c r="BW90" i="56"/>
  <c r="BV90" i="56"/>
  <c r="BM90" i="56"/>
  <c r="BN90" i="56" s="1"/>
  <c r="BI90" i="56"/>
  <c r="BW89" i="56"/>
  <c r="BV89" i="56"/>
  <c r="BN89" i="56"/>
  <c r="BH89" i="56"/>
  <c r="BG89" i="56"/>
  <c r="BF89" i="56"/>
  <c r="BW88" i="56"/>
  <c r="BV88" i="56"/>
  <c r="BM88" i="56"/>
  <c r="BN88" i="56" s="1"/>
  <c r="BG88" i="56"/>
  <c r="BF88" i="56"/>
  <c r="BW87" i="56"/>
  <c r="BV87" i="56"/>
  <c r="BN87" i="56"/>
  <c r="BH87" i="56"/>
  <c r="BG87" i="56"/>
  <c r="BF87" i="56"/>
  <c r="BV86" i="56"/>
  <c r="BN86" i="56"/>
  <c r="BJ86" i="56"/>
  <c r="BH86" i="56"/>
  <c r="BG86" i="56"/>
  <c r="BF86" i="56"/>
  <c r="BE86" i="56"/>
  <c r="BW86" i="56" s="1"/>
  <c r="BV85" i="56"/>
  <c r="BN85" i="56"/>
  <c r="BJ85" i="56"/>
  <c r="BH85" i="56"/>
  <c r="BG85" i="56"/>
  <c r="BF85" i="56"/>
  <c r="BE85" i="56"/>
  <c r="BW84" i="56"/>
  <c r="BV84" i="56"/>
  <c r="BN84" i="56"/>
  <c r="BH84" i="56"/>
  <c r="BG84" i="56"/>
  <c r="BF84" i="56"/>
  <c r="BV83" i="56"/>
  <c r="BK83" i="56"/>
  <c r="BN83" i="56" s="1"/>
  <c r="BJ83" i="56"/>
  <c r="BW83" i="56" s="1"/>
  <c r="BH83" i="56"/>
  <c r="BG83" i="56"/>
  <c r="BF83" i="56"/>
  <c r="BW115" i="56" l="1"/>
  <c r="BI104" i="56"/>
  <c r="BN128" i="56"/>
  <c r="BN132" i="56"/>
  <c r="BI103" i="56"/>
  <c r="BN133" i="56"/>
  <c r="BI105" i="56"/>
  <c r="BN153" i="56"/>
  <c r="BI84" i="56"/>
  <c r="BN98" i="56"/>
  <c r="BI109" i="56"/>
  <c r="BI111" i="56"/>
  <c r="BN115" i="56"/>
  <c r="BN117" i="56"/>
  <c r="BN125" i="56"/>
  <c r="BI85" i="56"/>
  <c r="BN129" i="56"/>
  <c r="BI88" i="56"/>
  <c r="BN135" i="56"/>
  <c r="BI86" i="56"/>
  <c r="BI97" i="56"/>
  <c r="BI113" i="56"/>
  <c r="BN116" i="56"/>
  <c r="BN136" i="56"/>
  <c r="BN97" i="56"/>
  <c r="BN123" i="56"/>
  <c r="BI138" i="56"/>
  <c r="BW85" i="56"/>
  <c r="BI95" i="56"/>
  <c r="BI106" i="56"/>
  <c r="BW113" i="56"/>
  <c r="BN120" i="56"/>
  <c r="BN121" i="56"/>
  <c r="BN124" i="56"/>
  <c r="BN154" i="56"/>
  <c r="BI159" i="56"/>
  <c r="BN161" i="56"/>
  <c r="BI120" i="56"/>
  <c r="BN119" i="56"/>
  <c r="BO126" i="56"/>
  <c r="BN127" i="56"/>
  <c r="BN162" i="56"/>
  <c r="BI94" i="56"/>
  <c r="BN109" i="56"/>
  <c r="BN114" i="56"/>
  <c r="BI116" i="56"/>
  <c r="BI124" i="56"/>
  <c r="BN131" i="56"/>
  <c r="BI155" i="56"/>
  <c r="BN166" i="56"/>
  <c r="BI98" i="56"/>
  <c r="BI102" i="56"/>
  <c r="BI128" i="56"/>
  <c r="BI87" i="56"/>
  <c r="BN94" i="56"/>
  <c r="BI96" i="56"/>
  <c r="BI110" i="56"/>
  <c r="BN118" i="56"/>
  <c r="BN122" i="56"/>
  <c r="BN126" i="56"/>
  <c r="BN130" i="56"/>
  <c r="BN134" i="56"/>
  <c r="BN158" i="56"/>
  <c r="BI160" i="56"/>
  <c r="BN160" i="56"/>
  <c r="BN167" i="56"/>
  <c r="BN170" i="56"/>
  <c r="BI173" i="56"/>
  <c r="BW282" i="56"/>
  <c r="BI91" i="56"/>
  <c r="BN93" i="56"/>
  <c r="BI118" i="56"/>
  <c r="BI122" i="56"/>
  <c r="BI126" i="56"/>
  <c r="BI130" i="56"/>
  <c r="BI134" i="56"/>
  <c r="BN138" i="56"/>
  <c r="BN155" i="56"/>
  <c r="BN163" i="56"/>
  <c r="BN165" i="56"/>
  <c r="BN168" i="56"/>
  <c r="BI170" i="56"/>
  <c r="BN171" i="56"/>
  <c r="BI132" i="56"/>
  <c r="BI136" i="56"/>
  <c r="BI156" i="56"/>
  <c r="BW283" i="56"/>
  <c r="BI93" i="56"/>
  <c r="BN96" i="56"/>
  <c r="BI101" i="56"/>
  <c r="BO115" i="56"/>
  <c r="BN157" i="56"/>
  <c r="BN159" i="56"/>
  <c r="BI168" i="56"/>
  <c r="BI171" i="56"/>
  <c r="BN172" i="56"/>
  <c r="BI92" i="56"/>
  <c r="BN95" i="56"/>
  <c r="BI100" i="56"/>
  <c r="BI107" i="56"/>
  <c r="BI115" i="56"/>
  <c r="BI117" i="56"/>
  <c r="BI119" i="56"/>
  <c r="BI121" i="56"/>
  <c r="BI123" i="56"/>
  <c r="BI125" i="56"/>
  <c r="BI127" i="56"/>
  <c r="BI129" i="56"/>
  <c r="BI131" i="56"/>
  <c r="BI133" i="56"/>
  <c r="BI135" i="56"/>
  <c r="BN137" i="56"/>
  <c r="BN156" i="56"/>
  <c r="BN164" i="56"/>
  <c r="BN169" i="56"/>
  <c r="BI172" i="56"/>
  <c r="BN173" i="56"/>
  <c r="BI89" i="56"/>
  <c r="BI108" i="56"/>
  <c r="BN139" i="56"/>
  <c r="BI83" i="56"/>
</calcChain>
</file>

<file path=xl/comments1.xml><?xml version="1.0" encoding="utf-8"?>
<comments xmlns="http://schemas.openxmlformats.org/spreadsheetml/2006/main">
  <authors>
    <author>Suffel, Chad A.</author>
  </authors>
  <commentList>
    <comment ref="BF180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80" authorId="0" shape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H180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80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W180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F181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81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H181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81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W181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<sst xmlns="http://schemas.openxmlformats.org/spreadsheetml/2006/main" count="6651" uniqueCount="3158">
  <si>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</si>
  <si>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</si>
  <si>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</si>
  <si>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</si>
  <si>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</si>
  <si>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</si>
  <si>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</si>
  <si>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</si>
  <si>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</si>
  <si>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</si>
  <si>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</si>
  <si>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</si>
  <si>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</si>
  <si>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</si>
  <si>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</si>
  <si>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</si>
  <si>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</si>
  <si>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</si>
  <si>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</si>
  <si>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</si>
  <si>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</si>
  <si>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</si>
  <si>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</si>
  <si>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</si>
  <si>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</si>
  <si>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</si>
  <si>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</si>
  <si>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</si>
  <si>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</si>
  <si>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</si>
  <si>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</si>
  <si>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</si>
  <si>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</si>
  <si>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</si>
  <si>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</si>
  <si>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</si>
  <si>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</si>
  <si>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</si>
  <si>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</si>
  <si>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</si>
  <si>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</si>
  <si>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</si>
  <si>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</si>
  <si>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</si>
  <si>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</si>
  <si>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</si>
  <si>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</si>
  <si>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</si>
  <si>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</si>
  <si>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</si>
  <si>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</si>
  <si>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</si>
  <si>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</si>
  <si>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</si>
  <si>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</si>
  <si>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</si>
  <si>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</si>
  <si>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</si>
  <si>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</si>
  <si>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</si>
  <si>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</si>
  <si>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</si>
  <si>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</si>
  <si>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</si>
  <si>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</si>
  <si>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</si>
  <si>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</si>
  <si>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</si>
  <si>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</si>
  <si>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</si>
  <si>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</si>
  <si>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</si>
  <si>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</si>
  <si>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</si>
  <si>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</si>
  <si>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</si>
  <si>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>Canada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</si>
  <si>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</si>
  <si>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</si>
  <si>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</si>
  <si>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</si>
  <si>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</si>
  <si>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</si>
  <si>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</si>
  <si>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</si>
  <si>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</si>
  <si>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</si>
  <si>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</si>
  <si>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</si>
  <si>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</si>
  <si>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</si>
  <si>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</si>
  <si>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</si>
  <si>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</si>
  <si>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</si>
  <si>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</si>
  <si>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</si>
  <si>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</si>
  <si>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</si>
  <si>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</si>
  <si>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</si>
  <si>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</si>
  <si>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</si>
  <si>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</si>
  <si>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</si>
  <si>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</si>
  <si>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</si>
  <si>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</si>
  <si>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</si>
  <si>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</si>
  <si>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</si>
  <si>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</si>
  <si>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</si>
  <si>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</si>
  <si>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</si>
  <si>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</si>
  <si>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</si>
  <si>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</si>
  <si>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</si>
  <si>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</si>
  <si>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</si>
  <si>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</si>
  <si>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</si>
  <si>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</si>
  <si>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</si>
  <si>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</si>
  <si>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</si>
  <si>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</si>
  <si>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</si>
  <si>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</si>
  <si>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</si>
  <si>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</si>
  <si>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</si>
  <si>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</si>
  <si>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</si>
  <si>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</si>
  <si>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</si>
  <si>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</si>
  <si>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</si>
  <si>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</si>
  <si>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</si>
  <si>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</si>
  <si>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</si>
  <si>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</si>
  <si>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</si>
  <si>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</si>
  <si>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</si>
  <si>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</si>
  <si>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</si>
  <si>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</si>
  <si>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</si>
  <si>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</si>
  <si>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</si>
  <si>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</si>
  <si>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</si>
  <si>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</si>
  <si>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</si>
  <si>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</si>
  <si>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</si>
  <si>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</si>
  <si>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</si>
  <si>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</si>
  <si>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</si>
  <si>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</si>
  <si>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</si>
  <si>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</si>
  <si>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</si>
  <si>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</si>
  <si>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</si>
  <si>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</si>
  <si>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</si>
  <si>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</si>
  <si>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</si>
  <si>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</si>
  <si>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</si>
  <si>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</si>
  <si>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</si>
  <si>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</si>
  <si>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</si>
  <si>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</si>
  <si>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</si>
  <si>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</si>
  <si>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</si>
  <si>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</si>
  <si>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</si>
  <si>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</si>
  <si>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</si>
  <si>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</si>
  <si>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</si>
  <si>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</si>
  <si>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</si>
  <si>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</si>
  <si>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</si>
  <si>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</si>
  <si>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</si>
  <si>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</si>
  <si>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</si>
  <si>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</si>
  <si>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</si>
  <si>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</si>
  <si>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</si>
  <si>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</si>
  <si>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</si>
  <si>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</si>
  <si>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</si>
  <si>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</si>
  <si>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</si>
  <si>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</si>
  <si>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</si>
  <si>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</si>
  <si>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</si>
  <si>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</si>
  <si>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</si>
  <si>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</si>
  <si>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</si>
  <si>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</si>
  <si>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</si>
  <si>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</si>
  <si>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</si>
  <si>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</si>
  <si>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</si>
  <si>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</si>
  <si>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</si>
  <si>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</si>
  <si>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</si>
  <si>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</si>
  <si>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</si>
  <si>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</si>
  <si>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</si>
  <si>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</si>
  <si>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</si>
  <si>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</si>
  <si>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</si>
  <si>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</si>
  <si>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</si>
  <si>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</si>
  <si>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</si>
  <si>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</si>
  <si>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</si>
  <si>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</si>
  <si>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</si>
  <si>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</si>
  <si>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</si>
  <si>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</si>
  <si>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</si>
  <si>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</si>
  <si>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</si>
  <si>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</si>
  <si>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</si>
  <si>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</si>
  <si>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</si>
  <si>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</si>
  <si>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</si>
  <si>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</si>
  <si>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</si>
  <si>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</si>
  <si>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</si>
  <si>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</si>
  <si>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</si>
  <si>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</si>
  <si>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</si>
  <si>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</si>
  <si>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</si>
  <si>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</si>
  <si>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</si>
  <si>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</si>
  <si>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</si>
  <si>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</si>
  <si>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</si>
  <si>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</si>
  <si>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</si>
  <si>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</si>
  <si>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</si>
  <si>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</si>
  <si>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</si>
  <si>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</si>
  <si>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</si>
  <si>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</si>
  <si>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</si>
  <si>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</si>
  <si>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</si>
  <si>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</si>
  <si>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</si>
  <si>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</si>
  <si>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</si>
  <si>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</si>
  <si>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</si>
  <si>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</si>
  <si>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</si>
  <si>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</si>
  <si>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</si>
  <si>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</si>
  <si>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</si>
  <si>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</si>
  <si>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</si>
  <si>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</si>
  <si>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</si>
  <si>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</si>
  <si>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</si>
  <si>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</si>
  <si>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</si>
  <si>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</si>
  <si>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</si>
  <si>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</si>
  <si>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</si>
  <si>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</si>
  <si>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</si>
  <si>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</si>
  <si>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</si>
  <si>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</si>
  <si>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</si>
  <si>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</si>
  <si>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</si>
  <si>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</si>
  <si>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</si>
  <si>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</si>
  <si>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</si>
  <si>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</si>
  <si>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</si>
  <si>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</si>
  <si>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</si>
  <si>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</si>
  <si>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</si>
  <si>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</si>
  <si>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</si>
  <si>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</si>
  <si>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</si>
  <si>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</si>
  <si>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</si>
  <si>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</si>
  <si>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</si>
  <si>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</si>
  <si>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</si>
  <si>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</si>
  <si>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</si>
  <si>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</si>
  <si>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</si>
  <si>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</si>
  <si>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</si>
  <si>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</si>
  <si>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</si>
  <si>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</si>
  <si>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</si>
  <si>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</si>
  <si>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</si>
  <si>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</si>
  <si>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</si>
  <si>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</si>
  <si>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</si>
  <si>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</si>
  <si>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</si>
  <si>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</si>
  <si>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</si>
  <si>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</si>
  <si>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</si>
  <si>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</si>
  <si>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</si>
  <si>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</si>
  <si>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</si>
  <si>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</si>
  <si>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</si>
  <si>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</si>
  <si>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</si>
  <si>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</si>
  <si>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</si>
  <si>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</si>
  <si>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</si>
  <si>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</si>
  <si>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</si>
  <si>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</si>
  <si>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</si>
  <si>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</si>
  <si>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</si>
  <si>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</si>
  <si>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</si>
  <si>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</si>
  <si>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</si>
  <si>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</si>
  <si>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</si>
  <si>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</si>
  <si>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</si>
  <si>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</si>
  <si>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</si>
  <si>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</si>
  <si>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</si>
  <si>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</si>
  <si>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</si>
  <si>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</si>
  <si>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</si>
  <si>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</si>
  <si>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</si>
  <si>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</si>
  <si>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</si>
  <si>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</si>
  <si>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</si>
  <si>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</si>
  <si>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</si>
  <si>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</si>
  <si>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</si>
  <si>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</si>
  <si>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</si>
  <si>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</si>
  <si>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</si>
  <si>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</si>
  <si>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</si>
  <si>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</si>
  <si>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</si>
  <si>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</si>
  <si>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</si>
  <si>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</si>
  <si>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</si>
  <si>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</si>
  <si>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</si>
  <si>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</si>
  <si>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</si>
  <si>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</si>
  <si>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</si>
  <si>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</si>
  <si>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</si>
  <si>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</si>
  <si>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</si>
  <si>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</si>
  <si>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</si>
  <si>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</si>
  <si>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</si>
  <si>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</si>
  <si>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</si>
  <si>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</si>
  <si>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</si>
  <si>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</si>
  <si>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</si>
  <si>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</si>
  <si>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</si>
  <si>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</si>
  <si>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</si>
  <si>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</si>
  <si>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</si>
  <si>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</si>
  <si>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</si>
  <si>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</si>
  <si>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</si>
  <si>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</si>
  <si>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</si>
  <si>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</si>
  <si>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</si>
  <si>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</si>
  <si>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</si>
  <si>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</si>
  <si>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</si>
  <si>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</si>
  <si>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</si>
  <si>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</si>
  <si>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</si>
  <si>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</si>
  <si>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</si>
  <si>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</si>
  <si>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</si>
  <si>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</si>
  <si>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</si>
  <si>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</si>
  <si>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</si>
  <si>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</si>
  <si>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</si>
  <si>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</si>
  <si>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</si>
  <si>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</si>
  <si>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</si>
  <si>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</si>
  <si>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</si>
  <si>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</si>
  <si>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</si>
  <si>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</si>
  <si>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</si>
  <si>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</si>
  <si>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</si>
  <si>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</si>
  <si>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</si>
  <si>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</si>
  <si>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</si>
  <si>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</si>
  <si>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</si>
  <si>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</si>
  <si>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</si>
  <si>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</si>
  <si>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</si>
  <si>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</si>
  <si>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</si>
  <si>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</si>
  <si>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</si>
  <si>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</si>
  <si>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</si>
  <si>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</si>
  <si>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</si>
  <si>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</si>
  <si>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</si>
  <si>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</si>
  <si>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</si>
  <si>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</si>
  <si>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</si>
  <si>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</si>
  <si>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</si>
  <si>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</si>
  <si>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</si>
  <si>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</si>
  <si>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</si>
  <si>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</si>
  <si>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</si>
  <si>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</si>
  <si>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</si>
  <si>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</si>
  <si>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</si>
  <si>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</si>
  <si>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</si>
  <si>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</si>
  <si>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</si>
  <si>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</si>
  <si>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</si>
  <si>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</si>
  <si>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</si>
  <si>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</si>
  <si>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</si>
  <si>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</si>
  <si>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</si>
  <si>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</si>
  <si>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</si>
  <si>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</si>
  <si>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</si>
  <si>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</si>
  <si>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</si>
  <si>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</si>
  <si>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</si>
  <si>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</si>
  <si>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</si>
  <si>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</si>
  <si>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</si>
  <si>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</si>
  <si>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</si>
  <si>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</si>
  <si>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</si>
  <si>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</si>
  <si>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</si>
  <si>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</si>
  <si>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</si>
  <si>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</si>
  <si>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</si>
  <si>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</si>
  <si>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</si>
  <si>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</si>
  <si>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</si>
  <si>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</si>
  <si>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</si>
  <si>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</si>
  <si>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</si>
  <si>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</si>
  <si>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</si>
  <si>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</si>
  <si>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</si>
  <si>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</si>
  <si>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</si>
  <si>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</si>
  <si>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</si>
  <si>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</si>
  <si>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</si>
  <si>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</si>
  <si>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</si>
  <si>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</si>
  <si>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</si>
  <si>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</si>
  <si>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</si>
  <si>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</si>
  <si>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</si>
  <si>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</si>
  <si>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</si>
  <si>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</si>
  <si>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</si>
  <si>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</si>
  <si>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</si>
  <si>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</si>
  <si>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</si>
  <si>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</si>
  <si>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</si>
  <si>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</si>
  <si>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</si>
  <si>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</si>
  <si>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</si>
  <si>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</si>
  <si>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</si>
  <si>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</si>
  <si>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</si>
  <si>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</si>
  <si>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</si>
  <si>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</si>
  <si>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</si>
  <si>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</si>
  <si>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</si>
  <si>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</si>
  <si>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</si>
  <si>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</si>
  <si>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</si>
  <si>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</si>
  <si>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</si>
  <si>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</si>
  <si>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</si>
  <si>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</si>
  <si>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</si>
  <si>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</si>
  <si>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</si>
  <si>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</si>
  <si>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</si>
  <si>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</si>
  <si>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</si>
  <si>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</si>
  <si>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</si>
  <si>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</si>
  <si>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</si>
  <si>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</si>
  <si>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</si>
  <si>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</si>
  <si>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</si>
  <si>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</si>
  <si>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</si>
  <si>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</si>
  <si>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</si>
  <si>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</si>
  <si>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</si>
  <si>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</si>
  <si>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</si>
  <si>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</si>
  <si>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</si>
  <si>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</si>
  <si>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</si>
  <si>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</si>
  <si>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</si>
  <si>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</si>
  <si>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</si>
  <si>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</si>
  <si>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</si>
  <si>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</si>
  <si>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</si>
  <si>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</si>
  <si>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</si>
  <si>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</si>
  <si>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</si>
  <si>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</si>
  <si>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</si>
  <si>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</si>
  <si>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</si>
  <si>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</si>
  <si>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</si>
  <si>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</si>
  <si>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</si>
  <si>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</si>
  <si>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</si>
  <si>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</si>
  <si>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</si>
  <si>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</si>
  <si>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</si>
  <si>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</si>
  <si>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</si>
  <si>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</si>
  <si>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</si>
  <si>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</si>
  <si>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</si>
  <si>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</si>
  <si>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</si>
  <si>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</si>
  <si>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</si>
  <si>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</si>
  <si>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</si>
  <si>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</si>
  <si>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</si>
  <si>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</si>
  <si>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</si>
  <si>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</si>
  <si>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</si>
  <si>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</si>
  <si>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</si>
  <si>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</si>
  <si>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</si>
  <si>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</si>
  <si>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</si>
  <si>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</si>
  <si>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</si>
  <si>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</si>
  <si>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</si>
  <si>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</si>
  <si>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</si>
  <si>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</si>
  <si>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</si>
  <si>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</si>
  <si>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</si>
  <si>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</si>
  <si>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</si>
  <si>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</si>
  <si>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</si>
  <si>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 xml:space="preserve">Mobil </t>
  </si>
  <si>
    <t>LAF4712</t>
  </si>
  <si>
    <t>Air Filter</t>
  </si>
  <si>
    <t>Hydraulic Filter</t>
  </si>
  <si>
    <t>Valvoline</t>
  </si>
  <si>
    <t>New Price</t>
  </si>
  <si>
    <t>Superseded by LAF4348</t>
  </si>
  <si>
    <t>LAF1713</t>
  </si>
  <si>
    <t>LAF1128</t>
  </si>
  <si>
    <t>Pending Obsolete</t>
  </si>
  <si>
    <t>LAF1737</t>
  </si>
  <si>
    <t>LFH3653-25</t>
  </si>
  <si>
    <t>Superseded by LFH4209</t>
  </si>
  <si>
    <t>LMB50</t>
  </si>
  <si>
    <t>LFH8297</t>
  </si>
  <si>
    <t>A777</t>
  </si>
  <si>
    <t>LH2544</t>
  </si>
  <si>
    <t>Application</t>
  </si>
  <si>
    <t>EHC (CND)</t>
  </si>
  <si>
    <t>BC (CND</t>
  </si>
  <si>
    <t>QC (CND)</t>
  </si>
  <si>
    <t>ON (CND)</t>
  </si>
  <si>
    <t>PEI (CND)</t>
  </si>
  <si>
    <t>Oil Filter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</si>
  <si>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</si>
  <si>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</si>
  <si>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</si>
  <si>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</si>
  <si>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</si>
  <si>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</si>
  <si>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</si>
  <si>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</si>
  <si>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</si>
  <si>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</si>
  <si>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</si>
  <si>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</si>
  <si>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</si>
  <si>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</si>
  <si>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Yes</t>
  </si>
  <si>
    <t>Mexico</t>
  </si>
  <si>
    <t>8421.31.0000</t>
  </si>
  <si>
    <t>CAF1929P</t>
  </si>
  <si>
    <t>Air Filter, Cabin</t>
  </si>
  <si>
    <t xml:space="preserve">Jaguar XF Series (2009-16) </t>
  </si>
  <si>
    <t>Jaguar</t>
  </si>
  <si>
    <t>C2Z6525</t>
  </si>
  <si>
    <t>038568743275</t>
  </si>
  <si>
    <t>10038568743272</t>
  </si>
  <si>
    <t>China</t>
  </si>
  <si>
    <t>8421.39.8015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</si>
  <si>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</si>
  <si>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</si>
  <si>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</si>
  <si>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</si>
  <si>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</si>
  <si>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</si>
  <si>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</si>
  <si>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</si>
  <si>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</si>
  <si>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</si>
  <si>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</si>
  <si>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</si>
  <si>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</si>
  <si>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</si>
  <si>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</si>
  <si>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</si>
  <si>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</si>
  <si>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</si>
  <si>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</si>
  <si>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</si>
  <si>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</si>
  <si>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</si>
  <si>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</si>
  <si>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</si>
  <si>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BMW</t>
  </si>
  <si>
    <t>90289C</t>
  </si>
  <si>
    <t>LAK812</t>
  </si>
  <si>
    <t>CUK25011</t>
  </si>
  <si>
    <t>038568743824</t>
  </si>
  <si>
    <t>10038568743821</t>
  </si>
  <si>
    <t>P1018</t>
  </si>
  <si>
    <t xml:space="preserve">Mercedes V8 5.5L (2011-16)  </t>
  </si>
  <si>
    <t>Mercedes</t>
  </si>
  <si>
    <t>S11792</t>
  </si>
  <si>
    <t>WP1018</t>
  </si>
  <si>
    <t>038568742940</t>
  </si>
  <si>
    <t>10038568742947</t>
  </si>
  <si>
    <t>Bulgaria</t>
  </si>
  <si>
    <t>8421.23.0000</t>
  </si>
  <si>
    <t>KNECHT/MAHLE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</si>
  <si>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</si>
  <si>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</si>
  <si>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</si>
  <si>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</si>
  <si>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</si>
  <si>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</si>
  <si>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</si>
  <si>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</si>
  <si>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</si>
  <si>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</si>
  <si>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</si>
  <si>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</si>
  <si>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</si>
  <si>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</si>
  <si>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</si>
  <si>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</si>
  <si>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</si>
  <si>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</si>
  <si>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</si>
  <si>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</si>
  <si>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</si>
  <si>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</si>
  <si>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</si>
  <si>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</si>
  <si>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</si>
  <si>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</si>
  <si>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</si>
  <si>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</si>
  <si>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</si>
  <si>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</si>
  <si>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</si>
  <si>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</si>
  <si>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</si>
  <si>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</si>
  <si>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</si>
  <si>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</si>
  <si>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</si>
  <si>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</si>
  <si>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</si>
  <si>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</si>
  <si>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</si>
  <si>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</si>
  <si>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</si>
  <si>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</si>
  <si>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</si>
  <si>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</si>
  <si>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</si>
  <si>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</si>
  <si>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</si>
  <si>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</si>
  <si>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</si>
  <si>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</si>
  <si>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</si>
  <si>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</si>
  <si>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</si>
  <si>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</si>
  <si>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</si>
  <si>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</si>
  <si>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</si>
  <si>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</si>
  <si>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</si>
  <si>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</si>
  <si>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</si>
  <si>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</si>
  <si>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</si>
  <si>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</si>
  <si>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</si>
  <si>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</si>
  <si>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</si>
  <si>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</si>
  <si>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</si>
  <si>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</si>
  <si>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</si>
  <si>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</si>
  <si>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</si>
  <si>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</si>
  <si>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</si>
  <si>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</si>
  <si>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</si>
  <si>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</si>
  <si>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</si>
  <si>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</si>
  <si>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</si>
  <si>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</si>
  <si>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</si>
  <si>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</si>
  <si>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</si>
  <si>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</si>
  <si>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</si>
  <si>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</si>
  <si>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</si>
  <si>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</si>
  <si>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</si>
  <si>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</si>
  <si>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</si>
  <si>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</si>
  <si>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</si>
  <si>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</si>
  <si>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</si>
  <si>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</si>
  <si>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</si>
  <si>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</si>
  <si>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</si>
  <si>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</si>
  <si>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</si>
  <si>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</si>
  <si>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</si>
  <si>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</si>
  <si>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</si>
  <si>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</si>
  <si>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</si>
  <si>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</si>
  <si>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</si>
  <si>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</si>
  <si>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</si>
  <si>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</si>
  <si>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</si>
  <si>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</si>
  <si>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</si>
  <si>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</si>
  <si>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</si>
  <si>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</si>
  <si>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</si>
  <si>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</si>
  <si>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</si>
  <si>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</si>
  <si>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</si>
  <si>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</si>
  <si>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</si>
  <si>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</si>
  <si>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</si>
  <si>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</si>
  <si>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</si>
  <si>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</si>
  <si>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</si>
  <si>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</si>
  <si>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</si>
  <si>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</si>
  <si>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</si>
  <si>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</si>
  <si>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</si>
  <si>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</si>
  <si>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</si>
  <si>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</si>
  <si>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</si>
  <si>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</si>
  <si>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</si>
  <si>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</si>
  <si>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</si>
  <si>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</si>
  <si>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</si>
  <si>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</si>
  <si>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</si>
  <si>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</si>
  <si>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</si>
  <si>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</si>
  <si>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</si>
  <si>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</si>
  <si>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</si>
  <si>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</si>
  <si>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</si>
  <si>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</si>
  <si>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</si>
  <si>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</si>
  <si>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</si>
  <si>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</si>
  <si>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</si>
  <si>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</si>
  <si>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</si>
  <si>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</si>
  <si>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</si>
  <si>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</si>
  <si>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</si>
  <si>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</si>
  <si>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</si>
  <si>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</si>
  <si>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</si>
  <si>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</si>
  <si>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</si>
  <si>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</si>
  <si>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</si>
  <si>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</si>
  <si>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</si>
  <si>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</si>
  <si>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</si>
  <si>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</si>
  <si>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</si>
  <si>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</si>
  <si>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</si>
  <si>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</si>
  <si>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</si>
  <si>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</si>
  <si>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</si>
  <si>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</si>
  <si>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</si>
  <si>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</si>
  <si>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</si>
  <si>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</si>
  <si>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</si>
  <si>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</si>
  <si>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</si>
  <si>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</si>
  <si>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</si>
  <si>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</si>
  <si>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</si>
  <si>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</si>
  <si>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</si>
  <si>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</si>
  <si>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</si>
  <si>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</si>
  <si>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</si>
  <si>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</si>
  <si>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</si>
  <si>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</si>
  <si>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</si>
  <si>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</si>
  <si>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</si>
  <si>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</si>
  <si>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</si>
  <si>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</si>
  <si>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</si>
  <si>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</si>
  <si>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</si>
  <si>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</si>
  <si>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</si>
  <si>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</si>
  <si>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</si>
  <si>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</si>
  <si>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</si>
  <si>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</si>
  <si>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</si>
  <si>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</si>
  <si>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</si>
  <si>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</si>
  <si>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</si>
  <si>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</si>
  <si>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</si>
  <si>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</si>
  <si>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</si>
  <si>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</si>
  <si>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</si>
  <si>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</si>
  <si>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</si>
  <si>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</si>
  <si>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</si>
  <si>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</si>
  <si>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</si>
  <si>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</si>
  <si>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</si>
  <si>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</si>
  <si>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</si>
  <si>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</si>
  <si>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</si>
  <si>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</si>
  <si>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</si>
  <si>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</si>
  <si>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</si>
  <si>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</si>
  <si>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</si>
  <si>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</si>
  <si>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</si>
  <si>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</si>
  <si>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</si>
  <si>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</si>
  <si>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</si>
  <si>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</si>
  <si>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</si>
  <si>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</si>
  <si>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</si>
  <si>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Mercedes Benz</t>
  </si>
  <si>
    <t>HU715/6x</t>
  </si>
  <si>
    <t>038568743060</t>
  </si>
  <si>
    <t>10038568743067</t>
  </si>
  <si>
    <t>P992</t>
  </si>
  <si>
    <t>2011-12 MERCEDES CL550 V8 4.7L</t>
  </si>
  <si>
    <t>038568743497</t>
  </si>
  <si>
    <t>10038568743494</t>
  </si>
  <si>
    <t>France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</si>
  <si>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</si>
  <si>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</si>
  <si>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</si>
  <si>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</si>
  <si>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</si>
  <si>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</si>
  <si>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</si>
  <si>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</si>
  <si>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</si>
  <si>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</si>
  <si>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</si>
  <si>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</si>
  <si>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</si>
  <si>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</si>
  <si>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</si>
  <si>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LFP7174</t>
  </si>
  <si>
    <t>OIL FILTER</t>
  </si>
  <si>
    <t>Iveco Euro Tech Truck with Cursor engine</t>
  </si>
  <si>
    <t>Iveco</t>
  </si>
  <si>
    <t xml:space="preserve">038568738158 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</si>
  <si>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</si>
  <si>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</si>
  <si>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</si>
  <si>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</si>
  <si>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</si>
  <si>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</si>
  <si>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</si>
  <si>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</si>
  <si>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</si>
  <si>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P2062</t>
  </si>
  <si>
    <t>2015 Ford F150 with 2.7L Ecoboost engine</t>
  </si>
  <si>
    <t>FT4Z-6731-A</t>
  </si>
  <si>
    <t>L38154</t>
  </si>
  <si>
    <t>S11955</t>
  </si>
  <si>
    <t>CF8154</t>
  </si>
  <si>
    <t>WP2062</t>
  </si>
  <si>
    <t>038568743015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</si>
  <si>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</si>
  <si>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</si>
  <si>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</si>
  <si>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</si>
  <si>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</si>
  <si>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</si>
  <si>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</si>
  <si>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</si>
  <si>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</si>
  <si>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</si>
  <si>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</si>
  <si>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</si>
  <si>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</si>
  <si>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</si>
  <si>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</si>
  <si>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</si>
  <si>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</si>
  <si>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</si>
  <si>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</si>
  <si>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</si>
  <si>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</si>
  <si>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</si>
  <si>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</si>
  <si>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</si>
  <si>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</si>
  <si>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</si>
  <si>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</si>
  <si>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</si>
  <si>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</si>
  <si>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</si>
  <si>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</si>
  <si>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</si>
  <si>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</si>
  <si>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</si>
  <si>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</si>
  <si>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</si>
  <si>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</si>
  <si>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</si>
  <si>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</si>
  <si>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</si>
  <si>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</si>
  <si>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</si>
  <si>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</si>
  <si>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</si>
  <si>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</si>
  <si>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</si>
  <si>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</si>
  <si>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</si>
  <si>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</si>
  <si>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</si>
  <si>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</si>
  <si>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</si>
  <si>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</si>
  <si>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</si>
  <si>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</si>
  <si>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</si>
  <si>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</si>
  <si>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</si>
  <si>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>N/A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</si>
  <si>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</si>
  <si>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</si>
  <si>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</si>
  <si>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</si>
  <si>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</si>
  <si>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</si>
  <si>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</si>
  <si>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</si>
  <si>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</si>
  <si>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</si>
  <si>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</si>
  <si>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</si>
  <si>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</si>
  <si>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</si>
  <si>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</si>
  <si>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</si>
  <si>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</si>
  <si>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</si>
  <si>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</si>
  <si>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</si>
  <si>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</si>
  <si>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</si>
  <si>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</si>
  <si>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</si>
  <si>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</si>
  <si>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</si>
  <si>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</si>
  <si>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</si>
  <si>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</si>
  <si>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</si>
  <si>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</si>
  <si>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</si>
  <si>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</si>
  <si>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</si>
  <si>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</si>
  <si>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</si>
  <si>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</si>
  <si>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</si>
  <si>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</si>
  <si>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</si>
  <si>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</si>
  <si>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</si>
  <si>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</si>
  <si>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</si>
  <si>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</si>
  <si>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</si>
  <si>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</si>
  <si>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</si>
  <si>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</si>
  <si>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</si>
  <si>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</si>
  <si>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</si>
  <si>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</si>
  <si>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</si>
  <si>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</si>
  <si>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</si>
  <si>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</si>
  <si>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</si>
  <si>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</si>
  <si>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</si>
  <si>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</si>
  <si>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</si>
  <si>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</si>
  <si>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</si>
  <si>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3.75</t>
  </si>
  <si>
    <t>3.98</t>
  </si>
  <si>
    <t>4.5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</si>
  <si>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</si>
  <si>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</si>
  <si>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</si>
  <si>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</si>
  <si>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</si>
  <si>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</si>
  <si>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</si>
  <si>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</si>
  <si>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</si>
  <si>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</si>
  <si>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n/a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</si>
  <si>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</si>
  <si>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</si>
  <si>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</si>
  <si>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</si>
  <si>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</si>
  <si>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</si>
  <si>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</si>
  <si>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</si>
  <si>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</si>
  <si>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</si>
  <si>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>.35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</si>
  <si>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</si>
  <si>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</si>
  <si>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</si>
  <si>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</si>
  <si>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</si>
  <si>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</si>
  <si>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</si>
  <si>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</si>
  <si>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</si>
  <si>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</si>
  <si>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</si>
  <si>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</si>
  <si>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</si>
  <si>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</si>
  <si>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</si>
  <si>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</si>
  <si>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</si>
  <si>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</si>
  <si>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</si>
  <si>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</si>
  <si>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</si>
  <si>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</si>
  <si>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</si>
  <si>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</si>
  <si>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</si>
  <si>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</si>
  <si>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</si>
  <si>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</si>
  <si>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</si>
  <si>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</si>
  <si>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</si>
  <si>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</si>
  <si>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</si>
  <si>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</si>
  <si>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</si>
  <si>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</si>
  <si>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</si>
  <si>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</si>
  <si>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</si>
  <si>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</si>
  <si>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</si>
  <si>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</si>
  <si>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</si>
  <si>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</si>
  <si>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</si>
  <si>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</si>
  <si>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</si>
  <si>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</si>
  <si>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</si>
  <si>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</si>
  <si>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</si>
  <si>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</si>
  <si>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</si>
  <si>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</si>
  <si>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</si>
  <si>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</si>
  <si>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</si>
  <si>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</si>
  <si>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</si>
  <si>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</si>
  <si>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</si>
  <si>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</si>
  <si>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</si>
  <si>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</si>
  <si>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</si>
  <si>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</si>
  <si>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</si>
  <si>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</si>
  <si>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</si>
  <si>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</si>
  <si>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</si>
  <si>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</si>
  <si>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</si>
  <si>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</si>
  <si>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</si>
  <si>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</si>
  <si>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</si>
  <si>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</si>
  <si>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</si>
  <si>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</si>
  <si>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</si>
  <si>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</si>
  <si>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</si>
  <si>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</si>
  <si>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</si>
  <si>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</si>
  <si>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</si>
  <si>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</si>
  <si>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</si>
  <si>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</si>
  <si>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</si>
  <si>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</si>
  <si>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</si>
  <si>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</si>
  <si>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</si>
  <si>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</si>
  <si>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</si>
  <si>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</si>
  <si>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</si>
  <si>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</si>
  <si>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</si>
  <si>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</si>
  <si>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</si>
  <si>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</si>
  <si>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</si>
  <si>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</si>
  <si>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</si>
  <si>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</si>
  <si>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</si>
  <si>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</si>
  <si>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</si>
  <si>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</si>
  <si>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</si>
  <si>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</si>
  <si>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</si>
  <si>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</si>
  <si>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</si>
  <si>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</si>
  <si>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</si>
  <si>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</si>
  <si>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</si>
  <si>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</si>
  <si>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</si>
  <si>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</si>
  <si>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</si>
  <si>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</si>
  <si>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</si>
  <si>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</si>
  <si>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</si>
  <si>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</si>
  <si>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</si>
  <si>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</si>
  <si>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</si>
  <si>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</si>
  <si>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</si>
  <si>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</si>
  <si>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</si>
  <si>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</si>
  <si>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</si>
  <si>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</si>
  <si>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</si>
  <si>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</si>
  <si>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</si>
  <si>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</si>
  <si>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</si>
  <si>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</si>
  <si>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</si>
  <si>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</si>
  <si>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</si>
  <si>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</si>
  <si>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</si>
  <si>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</si>
  <si>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</si>
  <si>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</si>
  <si>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</si>
  <si>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</si>
  <si>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</si>
  <si>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</si>
  <si>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</si>
  <si>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</si>
  <si>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</si>
  <si>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</si>
  <si>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</si>
  <si>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</si>
  <si>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</si>
  <si>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</si>
  <si>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</si>
  <si>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</si>
  <si>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</si>
  <si>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</si>
  <si>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</si>
  <si>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</si>
  <si>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</si>
  <si>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</si>
  <si>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</si>
  <si>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</si>
  <si>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</si>
  <si>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</si>
  <si>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</si>
  <si>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</si>
  <si>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</si>
  <si>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</si>
  <si>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</si>
  <si>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</si>
  <si>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</si>
  <si>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</si>
  <si>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</si>
  <si>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</si>
  <si>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</si>
  <si>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</si>
  <si>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</si>
  <si>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</si>
  <si>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</si>
  <si>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</si>
  <si>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</si>
  <si>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</si>
  <si>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</si>
  <si>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</si>
  <si>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</si>
  <si>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</si>
  <si>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</si>
  <si>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</si>
  <si>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</si>
  <si>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</si>
  <si>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</si>
  <si>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</si>
  <si>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</si>
  <si>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</si>
  <si>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</si>
  <si>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</si>
  <si>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</si>
  <si>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</si>
  <si>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</si>
  <si>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</si>
  <si>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</si>
  <si>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</si>
  <si>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</si>
  <si>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</si>
  <si>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</si>
  <si>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</si>
  <si>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</si>
  <si>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</si>
  <si>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</si>
  <si>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</si>
  <si>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</si>
  <si>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</si>
  <si>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</si>
  <si>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</si>
  <si>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</si>
  <si>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</si>
  <si>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</si>
  <si>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</si>
  <si>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</si>
  <si>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</si>
  <si>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</si>
  <si>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</si>
  <si>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</si>
  <si>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</si>
  <si>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</si>
  <si>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</si>
  <si>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</si>
  <si>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</si>
  <si>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</si>
  <si>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</si>
  <si>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</si>
  <si>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</si>
  <si>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</si>
  <si>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</si>
  <si>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</si>
  <si>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</si>
  <si>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</si>
  <si>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</si>
  <si>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</si>
  <si>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</si>
  <si>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</si>
  <si>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</si>
  <si>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</si>
  <si>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</si>
  <si>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</si>
  <si>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</si>
  <si>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</si>
  <si>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</si>
  <si>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</si>
  <si>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</si>
  <si>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</si>
  <si>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</si>
  <si>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</si>
  <si>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</si>
  <si>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</si>
  <si>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</si>
  <si>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</si>
  <si>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</si>
  <si>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</si>
  <si>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</si>
  <si>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</si>
  <si>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</si>
  <si>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</si>
  <si>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</si>
  <si>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</si>
  <si>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</si>
  <si>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</si>
  <si>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</si>
  <si>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</si>
  <si>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</si>
  <si>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</si>
  <si>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</si>
  <si>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</si>
  <si>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</si>
  <si>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</si>
  <si>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</si>
  <si>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</si>
  <si>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</si>
  <si>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</si>
  <si>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</si>
  <si>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</si>
  <si>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</si>
  <si>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</si>
  <si>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</si>
  <si>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</si>
  <si>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</si>
  <si>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</si>
  <si>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</si>
  <si>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</si>
  <si>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</si>
  <si>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</si>
  <si>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</si>
  <si>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</si>
  <si>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</si>
  <si>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</si>
  <si>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</si>
  <si>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</si>
  <si>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</si>
  <si>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</si>
  <si>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</si>
  <si>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</si>
  <si>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</si>
  <si>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</si>
  <si>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 xml:space="preserve">O-Ring </t>
  </si>
  <si>
    <t xml:space="preserve"> Used in LP7485 By-Pass Oil Filter (Service Part)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</si>
  <si>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</si>
  <si>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</si>
  <si>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</si>
  <si>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</si>
  <si>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</si>
  <si>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</si>
  <si>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</si>
  <si>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</si>
  <si>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</si>
  <si>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</si>
  <si>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</si>
  <si>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</si>
  <si>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</si>
  <si>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</si>
  <si>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</si>
  <si>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</si>
  <si>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</si>
  <si>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</si>
  <si>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</si>
  <si>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</si>
  <si>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</si>
  <si>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</si>
  <si>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</si>
  <si>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</si>
  <si>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</si>
  <si>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</si>
  <si>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</si>
  <si>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</si>
  <si>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</si>
  <si>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</si>
  <si>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</si>
  <si>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</si>
  <si>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</si>
  <si>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</si>
  <si>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</si>
  <si>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</si>
  <si>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</si>
  <si>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</si>
  <si>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</si>
  <si>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</si>
  <si>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</si>
  <si>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</si>
  <si>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</si>
  <si>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</si>
  <si>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</si>
  <si>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</si>
  <si>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</si>
  <si>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</si>
  <si>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</si>
  <si>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</si>
  <si>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</si>
  <si>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</si>
  <si>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</si>
  <si>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</si>
  <si>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</si>
  <si>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</si>
  <si>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</si>
  <si>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</si>
  <si>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</si>
  <si>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</si>
  <si>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</si>
  <si>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</si>
  <si>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</si>
  <si>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</si>
  <si>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</si>
  <si>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</si>
  <si>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</si>
  <si>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</si>
  <si>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</si>
  <si>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</si>
  <si>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</si>
  <si>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</si>
  <si>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</si>
  <si>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</si>
  <si>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</si>
  <si>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</si>
  <si>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</si>
  <si>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</si>
  <si>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</si>
  <si>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</si>
  <si>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</si>
  <si>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</si>
  <si>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</si>
  <si>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LAF6101</t>
  </si>
  <si>
    <t>RADIAL SEAL AIR FILTER</t>
  </si>
  <si>
    <t>Chevrolet/GMC Kodiak/Topkick C6500/7500/8500  Trucks &amp; Buses with L6 7.8L Isuzu (Duramax) Turbo Diesel</t>
  </si>
  <si>
    <t>A3101C</t>
  </si>
  <si>
    <t>RS5767</t>
  </si>
  <si>
    <t>49832</t>
  </si>
  <si>
    <t>038568735812</t>
  </si>
  <si>
    <t>10038568735819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</si>
  <si>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</si>
  <si>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</si>
  <si>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</si>
  <si>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</si>
  <si>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</si>
  <si>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</si>
  <si>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</si>
  <si>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</si>
  <si>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</si>
  <si>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</si>
  <si>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</si>
  <si>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</si>
  <si>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</si>
  <si>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</si>
  <si>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</si>
  <si>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</si>
  <si>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</si>
  <si>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</si>
  <si>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</si>
  <si>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</si>
  <si>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</si>
  <si>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</si>
  <si>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</si>
  <si>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</si>
  <si>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</si>
  <si>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</si>
  <si>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</si>
  <si>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</si>
  <si>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</si>
  <si>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</si>
  <si>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</si>
  <si>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</si>
  <si>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</si>
  <si>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</si>
  <si>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</si>
  <si>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</si>
  <si>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</si>
  <si>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</si>
  <si>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</si>
  <si>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</si>
  <si>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</si>
  <si>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</si>
  <si>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</si>
  <si>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</si>
  <si>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</si>
  <si>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</si>
  <si>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</si>
  <si>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</si>
  <si>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</si>
  <si>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</si>
  <si>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</si>
  <si>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</si>
  <si>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</si>
  <si>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</si>
  <si>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</si>
  <si>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</si>
  <si>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</si>
  <si>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</si>
  <si>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</si>
  <si>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</si>
  <si>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</si>
  <si>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</si>
  <si>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</si>
  <si>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</si>
  <si>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</si>
  <si>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</si>
  <si>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</si>
  <si>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</si>
  <si>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</si>
  <si>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</si>
  <si>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</si>
  <si>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</si>
  <si>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</si>
  <si>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</si>
  <si>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</si>
  <si>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</si>
  <si>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</si>
  <si>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</si>
  <si>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</si>
  <si>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</si>
  <si>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</si>
  <si>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</si>
  <si>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</si>
  <si>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</si>
  <si>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</si>
  <si>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</si>
  <si>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</si>
  <si>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</si>
  <si>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</si>
  <si>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</si>
  <si>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</si>
  <si>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</si>
  <si>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</si>
  <si>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</si>
  <si>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</si>
  <si>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</si>
  <si>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</si>
  <si>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</si>
  <si>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</si>
  <si>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</si>
  <si>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</si>
  <si>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</si>
  <si>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</si>
  <si>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</si>
  <si>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</si>
  <si>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</si>
  <si>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</si>
  <si>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</si>
  <si>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</si>
  <si>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</si>
  <si>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</si>
  <si>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</si>
  <si>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</si>
  <si>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</si>
  <si>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</si>
  <si>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</si>
  <si>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</si>
  <si>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</si>
  <si>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</si>
  <si>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</si>
  <si>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</si>
  <si>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</si>
  <si>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</si>
  <si>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</si>
  <si>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</si>
  <si>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</si>
  <si>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</si>
  <si>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</si>
  <si>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</si>
  <si>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</si>
  <si>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</si>
  <si>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</si>
  <si>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</si>
  <si>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</si>
  <si>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</si>
  <si>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</si>
  <si>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</si>
  <si>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</si>
  <si>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</si>
  <si>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</si>
  <si>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</si>
  <si>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</si>
  <si>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</si>
  <si>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</si>
  <si>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</si>
  <si>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</si>
  <si>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</si>
  <si>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</si>
  <si>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</si>
  <si>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</si>
  <si>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</si>
  <si>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</si>
  <si>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</si>
  <si>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</si>
  <si>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</si>
  <si>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</si>
  <si>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</si>
  <si>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</si>
  <si>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</si>
  <si>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</si>
  <si>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</si>
  <si>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</si>
  <si>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</si>
  <si>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</si>
  <si>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</si>
  <si>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</si>
  <si>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</si>
  <si>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</si>
  <si>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</si>
  <si>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</si>
  <si>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</si>
  <si>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</si>
  <si>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</si>
  <si>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</si>
  <si>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</si>
  <si>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</si>
  <si>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</si>
  <si>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</si>
  <si>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</si>
  <si>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</si>
  <si>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</si>
  <si>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</si>
  <si>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</si>
  <si>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</si>
  <si>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</si>
  <si>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</si>
  <si>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</si>
  <si>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</si>
  <si>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</si>
  <si>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</si>
  <si>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</si>
  <si>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</si>
  <si>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</si>
  <si>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</si>
  <si>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</si>
  <si>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</si>
  <si>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</si>
  <si>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</si>
  <si>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</si>
  <si>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</si>
  <si>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</si>
  <si>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</si>
  <si>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</si>
  <si>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</si>
  <si>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</si>
  <si>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</si>
  <si>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</si>
  <si>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</si>
  <si>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</si>
  <si>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</si>
  <si>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</si>
  <si>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</si>
  <si>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</si>
  <si>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</si>
  <si>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</si>
  <si>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</si>
  <si>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</si>
  <si>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</si>
  <si>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</si>
  <si>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</si>
  <si>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</si>
  <si>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</si>
  <si>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</si>
  <si>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</si>
  <si>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</si>
  <si>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</si>
  <si>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</si>
  <si>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</si>
  <si>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</si>
  <si>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</si>
  <si>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</si>
  <si>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</si>
  <si>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</si>
  <si>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</si>
  <si>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</si>
  <si>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</si>
  <si>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</si>
  <si>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</si>
  <si>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</si>
  <si>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</si>
  <si>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</si>
  <si>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</si>
  <si>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</si>
  <si>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</si>
  <si>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</si>
  <si>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</si>
  <si>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</si>
  <si>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</si>
  <si>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</si>
  <si>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</si>
  <si>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</si>
  <si>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</si>
  <si>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</si>
  <si>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</si>
  <si>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</si>
  <si>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</si>
  <si>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</si>
  <si>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</si>
  <si>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</si>
  <si>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</si>
  <si>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</si>
  <si>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</si>
  <si>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</si>
  <si>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</si>
  <si>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</si>
  <si>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</si>
  <si>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</si>
  <si>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</si>
  <si>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</si>
  <si>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</si>
  <si>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</si>
  <si>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</si>
  <si>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</si>
  <si>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>PH2873</t>
  </si>
  <si>
    <t xml:space="preserve">2013-14 Chevy Spark w/ L4-1.2L F/inj. engine. </t>
  </si>
  <si>
    <t>PH11462</t>
  </si>
  <si>
    <t>L16291</t>
  </si>
  <si>
    <t>OF6291</t>
  </si>
  <si>
    <t>WPH2873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</si>
  <si>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</si>
  <si>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</si>
  <si>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</si>
  <si>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</si>
  <si>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</si>
  <si>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</si>
  <si>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</si>
  <si>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</si>
  <si>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</si>
  <si>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</si>
  <si>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</si>
  <si>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</si>
  <si>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</si>
  <si>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</si>
  <si>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</si>
  <si>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</si>
  <si>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</si>
  <si>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</si>
  <si>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</si>
  <si>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</si>
  <si>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</si>
  <si>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</si>
  <si>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</si>
  <si>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</si>
  <si>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</si>
  <si>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</si>
  <si>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</si>
  <si>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</si>
  <si>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</si>
  <si>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</si>
  <si>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</si>
  <si>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</si>
  <si>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</si>
  <si>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</si>
  <si>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</si>
  <si>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</si>
  <si>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</si>
  <si>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</si>
  <si>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</si>
  <si>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</si>
  <si>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</si>
  <si>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</si>
  <si>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</si>
  <si>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</si>
  <si>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</si>
  <si>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</si>
  <si>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</si>
  <si>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</si>
  <si>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</si>
  <si>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</si>
  <si>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</si>
  <si>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</si>
  <si>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</si>
  <si>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</si>
  <si>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</si>
  <si>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</si>
  <si>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</si>
  <si>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</si>
  <si>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</si>
  <si>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</si>
  <si>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</si>
  <si>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</si>
  <si>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</si>
  <si>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</si>
  <si>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</si>
  <si>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</si>
  <si>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</si>
  <si>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</si>
  <si>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</si>
  <si>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</si>
  <si>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</si>
  <si>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</si>
  <si>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</si>
  <si>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</si>
  <si>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</si>
  <si>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</si>
  <si>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</si>
  <si>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</si>
  <si>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</si>
  <si>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</si>
  <si>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</si>
  <si>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</si>
  <si>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</si>
  <si>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</si>
  <si>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</si>
  <si>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</si>
  <si>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</si>
  <si>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</si>
  <si>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</si>
  <si>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</si>
  <si>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</si>
  <si>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</si>
  <si>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</si>
  <si>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</si>
  <si>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</si>
  <si>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</si>
  <si>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</si>
  <si>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</si>
  <si>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</si>
  <si>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</si>
  <si>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</si>
  <si>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</si>
  <si>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</si>
  <si>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</si>
  <si>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</si>
  <si>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</si>
  <si>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</si>
  <si>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</si>
  <si>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</si>
  <si>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</si>
  <si>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</si>
  <si>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</si>
  <si>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</si>
  <si>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</si>
  <si>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</si>
  <si>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</si>
  <si>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</si>
  <si>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</si>
  <si>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</si>
  <si>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</si>
  <si>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</si>
  <si>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</si>
  <si>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</si>
  <si>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</si>
  <si>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</si>
  <si>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</si>
  <si>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</si>
  <si>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</si>
  <si>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</si>
  <si>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</si>
  <si>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</si>
  <si>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</si>
  <si>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</si>
  <si>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</si>
  <si>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</si>
  <si>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</si>
  <si>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</si>
  <si>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</si>
  <si>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</si>
  <si>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</si>
  <si>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</si>
  <si>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</si>
  <si>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</si>
  <si>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</si>
  <si>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</si>
  <si>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</si>
  <si>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</si>
  <si>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</si>
  <si>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</si>
  <si>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</si>
  <si>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</si>
  <si>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</si>
  <si>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</si>
  <si>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</si>
  <si>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</si>
  <si>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</si>
  <si>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</si>
  <si>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</si>
  <si>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</si>
  <si>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</si>
  <si>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</si>
  <si>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</si>
  <si>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</si>
  <si>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</si>
  <si>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</si>
  <si>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</si>
  <si>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</si>
  <si>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</si>
  <si>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</si>
  <si>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</si>
  <si>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</si>
  <si>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</si>
  <si>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</si>
  <si>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</si>
  <si>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</si>
  <si>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</si>
  <si>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</si>
  <si>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</si>
  <si>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</si>
  <si>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</si>
  <si>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</si>
  <si>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</si>
  <si>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</si>
  <si>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</si>
  <si>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</si>
  <si>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</si>
  <si>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</si>
  <si>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</si>
  <si>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</si>
  <si>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</si>
  <si>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</si>
  <si>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</si>
  <si>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</si>
  <si>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</si>
  <si>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</si>
  <si>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</si>
  <si>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</si>
  <si>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</si>
  <si>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</si>
  <si>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</si>
  <si>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</si>
  <si>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</si>
  <si>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</si>
  <si>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</si>
  <si>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</si>
  <si>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</si>
  <si>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</si>
  <si>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</si>
  <si>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</si>
  <si>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</si>
  <si>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</si>
  <si>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</si>
  <si>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</si>
  <si>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</si>
  <si>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</si>
  <si>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</si>
  <si>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</si>
  <si>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</si>
  <si>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</si>
  <si>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</si>
  <si>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</si>
  <si>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</si>
  <si>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</si>
  <si>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</si>
  <si>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</si>
  <si>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</si>
  <si>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</si>
  <si>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</si>
  <si>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</si>
  <si>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</si>
  <si>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</si>
  <si>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</si>
  <si>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</si>
  <si>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</si>
  <si>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</si>
  <si>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</si>
  <si>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</si>
  <si>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</si>
  <si>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</si>
  <si>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</si>
  <si>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</si>
  <si>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</si>
  <si>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</si>
  <si>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</si>
  <si>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</si>
  <si>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</si>
  <si>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</si>
  <si>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</si>
  <si>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</si>
  <si>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</si>
  <si>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</si>
  <si>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</si>
  <si>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</si>
  <si>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</si>
  <si>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</si>
  <si>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</si>
  <si>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</si>
  <si>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</si>
  <si>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</si>
  <si>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</si>
  <si>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</si>
  <si>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</si>
  <si>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</si>
  <si>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</si>
  <si>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</si>
  <si>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</si>
  <si>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</si>
  <si>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</si>
  <si>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</si>
  <si>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</si>
  <si>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</si>
  <si>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</si>
  <si>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</si>
  <si>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</si>
  <si>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</si>
  <si>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</si>
  <si>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</si>
  <si>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</si>
  <si>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</si>
  <si>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</si>
  <si>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</si>
  <si>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</si>
  <si>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</si>
  <si>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</si>
  <si>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</si>
  <si>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</si>
  <si>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</si>
  <si>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</si>
  <si>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</si>
  <si>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</si>
  <si>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</si>
  <si>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</si>
  <si>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</si>
  <si>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</si>
  <si>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</si>
  <si>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</si>
  <si>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</si>
  <si>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</si>
  <si>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</si>
  <si>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</si>
  <si>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</si>
  <si>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</si>
  <si>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</si>
  <si>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</si>
  <si>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</si>
  <si>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</si>
  <si>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</si>
  <si>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</si>
  <si>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</si>
  <si>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</si>
  <si>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</si>
  <si>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</si>
  <si>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</si>
  <si>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</si>
  <si>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</si>
  <si>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</si>
  <si>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</si>
  <si>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</si>
  <si>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</si>
  <si>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</si>
  <si>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</si>
  <si>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</si>
  <si>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</si>
  <si>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</si>
  <si>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</si>
  <si>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</si>
  <si>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</si>
  <si>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</si>
  <si>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</si>
  <si>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</si>
  <si>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</si>
  <si>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</si>
  <si>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</si>
  <si>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</si>
  <si>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</si>
  <si>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</si>
  <si>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</si>
  <si>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</si>
  <si>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</si>
  <si>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</si>
  <si>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</si>
  <si>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</si>
  <si>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</si>
  <si>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</si>
  <si>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</si>
  <si>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</si>
  <si>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</si>
  <si>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</si>
  <si>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</si>
  <si>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</si>
  <si>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</si>
  <si>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</si>
  <si>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</si>
  <si>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</si>
  <si>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</si>
  <si>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</si>
  <si>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</si>
  <si>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</si>
  <si>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</si>
  <si>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</si>
  <si>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</si>
  <si>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</si>
  <si>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</si>
  <si>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</si>
  <si>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</si>
  <si>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</si>
  <si>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</si>
  <si>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</si>
  <si>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</si>
  <si>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</si>
  <si>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</si>
  <si>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</si>
  <si>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</si>
  <si>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</si>
  <si>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</si>
  <si>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</si>
  <si>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</si>
  <si>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</si>
  <si>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</si>
  <si>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</si>
  <si>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</si>
  <si>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</si>
  <si>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</si>
  <si>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</si>
  <si>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</si>
  <si>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</si>
  <si>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</si>
  <si>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</si>
  <si>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</si>
  <si>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</si>
  <si>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</si>
  <si>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</si>
  <si>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</si>
  <si>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</si>
  <si>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</si>
  <si>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</si>
  <si>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</si>
  <si>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</si>
  <si>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</si>
  <si>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</si>
  <si>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</si>
  <si>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</si>
  <si>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</si>
  <si>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</si>
  <si>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</si>
  <si>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</si>
  <si>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</si>
  <si>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</si>
  <si>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</si>
  <si>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</si>
  <si>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</si>
  <si>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</si>
  <si>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</si>
  <si>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</si>
  <si>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</si>
  <si>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</si>
  <si>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</si>
  <si>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</si>
  <si>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</si>
  <si>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</si>
  <si>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</si>
  <si>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</si>
  <si>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</si>
  <si>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</si>
  <si>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</si>
  <si>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</si>
  <si>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</si>
  <si>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</si>
  <si>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</si>
  <si>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</si>
  <si>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</si>
  <si>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</si>
  <si>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</si>
  <si>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</si>
  <si>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</si>
  <si>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</si>
  <si>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</si>
  <si>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</si>
  <si>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</si>
  <si>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</si>
  <si>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</si>
  <si>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</si>
  <si>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</si>
  <si>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</si>
  <si>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</si>
  <si>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</si>
  <si>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</si>
  <si>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</si>
  <si>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</si>
  <si>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</si>
  <si>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</si>
  <si>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</si>
  <si>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</si>
  <si>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</si>
  <si>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</si>
  <si>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</si>
  <si>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</si>
  <si>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</si>
  <si>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</si>
  <si>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</si>
  <si>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</si>
  <si>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</si>
  <si>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</si>
  <si>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</si>
  <si>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</si>
  <si>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</si>
  <si>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</si>
  <si>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</si>
  <si>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</si>
  <si>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</si>
  <si>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</si>
  <si>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</si>
  <si>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</si>
  <si>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</si>
  <si>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</si>
  <si>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</si>
  <si>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</si>
  <si>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</si>
  <si>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</si>
  <si>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</si>
  <si>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</si>
  <si>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</si>
  <si>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</si>
  <si>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</si>
  <si>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</si>
  <si>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</si>
  <si>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</si>
  <si>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</si>
  <si>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</si>
  <si>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</si>
  <si>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</si>
  <si>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</si>
  <si>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</si>
  <si>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</si>
  <si>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</si>
  <si>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</si>
  <si>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</si>
  <si>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</si>
  <si>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</si>
  <si>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</si>
  <si>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</si>
  <si>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</si>
  <si>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</si>
  <si>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</si>
  <si>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</si>
  <si>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</si>
  <si>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</si>
  <si>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</si>
  <si>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</si>
  <si>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</si>
  <si>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</si>
  <si>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</si>
  <si>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</si>
  <si>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</si>
  <si>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</si>
  <si>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</si>
  <si>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</si>
  <si>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</si>
  <si>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</si>
  <si>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</si>
  <si>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</si>
  <si>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</si>
  <si>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</si>
  <si>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</si>
  <si>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</si>
  <si>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</si>
  <si>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</si>
  <si>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</si>
  <si>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</si>
  <si>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</si>
  <si>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</si>
  <si>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</si>
  <si>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</si>
  <si>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</si>
  <si>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</si>
  <si>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</si>
  <si>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</si>
  <si>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</si>
  <si>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</si>
  <si>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</si>
  <si>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</si>
  <si>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</si>
  <si>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</si>
  <si>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</si>
  <si>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</si>
  <si>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</si>
  <si>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</si>
  <si>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</si>
  <si>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</si>
  <si>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</si>
  <si>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</si>
  <si>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</si>
  <si>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</si>
  <si>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</si>
  <si>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</si>
  <si>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</si>
  <si>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</si>
  <si>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</si>
  <si>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</si>
  <si>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</si>
  <si>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</si>
  <si>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</si>
  <si>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</si>
  <si>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</si>
  <si>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</si>
  <si>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</si>
  <si>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</si>
  <si>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</si>
  <si>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</si>
  <si>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</si>
  <si>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</si>
  <si>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</si>
  <si>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</si>
  <si>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</si>
  <si>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</si>
  <si>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</si>
  <si>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</si>
  <si>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</si>
  <si>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</si>
  <si>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</si>
  <si>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</si>
  <si>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</si>
  <si>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</si>
  <si>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</si>
  <si>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</si>
  <si>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</si>
  <si>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</si>
  <si>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</si>
  <si>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</si>
  <si>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</si>
  <si>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</si>
  <si>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</si>
  <si>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</si>
  <si>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</si>
  <si>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</si>
  <si>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</si>
  <si>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</si>
  <si>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</si>
  <si>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</si>
  <si>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</si>
  <si>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</si>
  <si>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</si>
  <si>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</si>
  <si>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</si>
  <si>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</si>
  <si>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</si>
  <si>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</si>
  <si>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</si>
  <si>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</si>
  <si>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</si>
  <si>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</si>
  <si>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</si>
  <si>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</si>
  <si>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</si>
  <si>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</si>
  <si>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</si>
  <si>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</si>
  <si>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</si>
  <si>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</si>
  <si>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</si>
  <si>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</si>
  <si>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</si>
  <si>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</si>
  <si>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</si>
  <si>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</si>
  <si>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</si>
  <si>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</si>
  <si>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</si>
  <si>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</si>
  <si>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</si>
  <si>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</si>
  <si>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</si>
  <si>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</si>
  <si>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</si>
  <si>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</si>
  <si>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</si>
  <si>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</si>
  <si>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</si>
  <si>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</si>
  <si>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</si>
  <si>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</si>
  <si>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</si>
  <si>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</si>
  <si>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</si>
  <si>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</si>
  <si>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</si>
  <si>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</si>
  <si>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</si>
  <si>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</si>
  <si>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</si>
  <si>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</si>
  <si>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</si>
  <si>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</si>
  <si>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</si>
  <si>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</si>
  <si>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</si>
  <si>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</si>
  <si>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</si>
  <si>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</si>
  <si>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</si>
  <si>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</si>
  <si>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</si>
  <si>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</si>
  <si>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</si>
  <si>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</si>
  <si>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</si>
  <si>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</si>
  <si>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</si>
  <si>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</si>
  <si>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</si>
  <si>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</si>
  <si>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</si>
  <si>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</si>
  <si>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</si>
  <si>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</si>
  <si>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</si>
  <si>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</si>
  <si>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</si>
  <si>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</si>
  <si>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</si>
  <si>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</si>
  <si>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</si>
  <si>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</si>
  <si>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</si>
  <si>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</si>
  <si>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</si>
  <si>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</si>
  <si>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</si>
  <si>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</si>
  <si>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</si>
  <si>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</si>
  <si>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</si>
  <si>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</si>
  <si>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</si>
  <si>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</si>
  <si>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</si>
  <si>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</si>
  <si>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</si>
  <si>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</si>
  <si>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</si>
  <si>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</si>
  <si>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</si>
  <si>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</si>
  <si>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</si>
  <si>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</si>
  <si>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</si>
  <si>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</si>
  <si>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</si>
  <si>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</si>
  <si>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</si>
  <si>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</si>
  <si>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</si>
  <si>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</si>
  <si>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</si>
  <si>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</si>
  <si>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</si>
  <si>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</si>
  <si>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</si>
  <si>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</si>
  <si>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</si>
  <si>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</si>
  <si>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</si>
  <si>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</si>
  <si>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</si>
  <si>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</si>
  <si>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</si>
  <si>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</si>
  <si>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</si>
  <si>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</si>
  <si>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</si>
  <si>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</si>
  <si>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</si>
  <si>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</si>
  <si>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</si>
  <si>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</si>
  <si>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</si>
  <si>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</si>
  <si>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</si>
  <si>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</si>
  <si>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</si>
  <si>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</si>
  <si>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</si>
  <si>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</si>
  <si>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</si>
  <si>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</si>
  <si>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</si>
  <si>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</si>
  <si>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</si>
  <si>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</si>
  <si>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</si>
  <si>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</si>
  <si>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</si>
  <si>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</si>
  <si>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</si>
  <si>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</si>
  <si>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</si>
  <si>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</si>
  <si>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</si>
  <si>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</si>
  <si>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</si>
  <si>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</si>
  <si>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</si>
  <si>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</si>
  <si>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</si>
  <si>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</si>
  <si>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</si>
  <si>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</si>
  <si>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</si>
  <si>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</si>
  <si>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</si>
  <si>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</si>
  <si>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</si>
  <si>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</si>
  <si>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</si>
  <si>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</si>
  <si>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</si>
  <si>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</si>
  <si>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</si>
  <si>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</si>
  <si>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</si>
  <si>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</si>
  <si>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</si>
  <si>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</si>
  <si>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</si>
  <si>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</si>
  <si>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</si>
  <si>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</si>
  <si>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</si>
  <si>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</si>
  <si>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</si>
  <si>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</si>
  <si>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</si>
  <si>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</si>
  <si>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</si>
  <si>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</si>
  <si>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</si>
  <si>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</si>
  <si>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</si>
  <si>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</si>
  <si>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</si>
  <si>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</si>
  <si>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</si>
  <si>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</si>
  <si>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</si>
  <si>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</si>
  <si>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</si>
  <si>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</si>
  <si>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</si>
  <si>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</si>
  <si>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</si>
  <si>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</si>
  <si>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</si>
  <si>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</si>
  <si>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</si>
  <si>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</si>
  <si>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</si>
  <si>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</si>
  <si>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</si>
  <si>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</si>
  <si>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</si>
  <si>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</si>
  <si>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</si>
  <si>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</si>
  <si>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</si>
  <si>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</si>
  <si>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</si>
  <si>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</si>
  <si>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</si>
  <si>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</si>
  <si>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</si>
  <si>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</si>
  <si>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</si>
  <si>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</si>
  <si>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</si>
  <si>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</si>
  <si>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</si>
  <si>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</si>
  <si>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</si>
  <si>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</si>
  <si>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</si>
  <si>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</si>
  <si>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</si>
  <si>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</si>
  <si>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</si>
  <si>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</si>
  <si>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</si>
  <si>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</si>
  <si>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</si>
  <si>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</si>
  <si>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</si>
  <si>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</si>
  <si>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</si>
  <si>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</si>
  <si>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</si>
  <si>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</si>
  <si>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</si>
  <si>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</si>
  <si>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</si>
  <si>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</si>
  <si>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</si>
  <si>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</si>
  <si>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</si>
  <si>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</si>
  <si>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</si>
  <si>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</si>
  <si>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</si>
  <si>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</si>
  <si>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</si>
  <si>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</si>
  <si>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</si>
  <si>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</si>
  <si>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</si>
  <si>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</si>
  <si>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</si>
  <si>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</si>
  <si>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</si>
  <si>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</si>
  <si>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</si>
  <si>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</si>
  <si>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</si>
  <si>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</si>
  <si>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</si>
  <si>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</si>
  <si>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</si>
  <si>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</si>
  <si>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</si>
  <si>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</si>
  <si>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</si>
  <si>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</si>
  <si>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</si>
  <si>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</si>
  <si>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</si>
  <si>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</si>
  <si>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</si>
  <si>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</si>
  <si>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</si>
  <si>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</si>
  <si>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</si>
  <si>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</si>
  <si>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</si>
  <si>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</si>
  <si>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</si>
  <si>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</si>
  <si>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</si>
  <si>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</si>
  <si>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</si>
  <si>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</si>
  <si>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</si>
  <si>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</si>
  <si>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</si>
  <si>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</si>
  <si>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</si>
  <si>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</si>
  <si>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</si>
  <si>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</si>
  <si>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</si>
  <si>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</si>
  <si>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</si>
  <si>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</si>
  <si>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</si>
  <si>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</si>
  <si>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</si>
  <si>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</si>
  <si>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</si>
  <si>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</si>
  <si>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</si>
  <si>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</si>
  <si>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</si>
  <si>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</si>
  <si>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</si>
  <si>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</si>
  <si>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</si>
  <si>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</si>
  <si>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</si>
  <si>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</si>
  <si>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</si>
  <si>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</si>
  <si>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</si>
  <si>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</si>
  <si>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</si>
  <si>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</si>
  <si>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</si>
  <si>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</si>
  <si>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</si>
  <si>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</si>
  <si>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</si>
  <si>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</si>
  <si>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</si>
  <si>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</si>
  <si>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</si>
  <si>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</si>
  <si>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</si>
  <si>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</si>
  <si>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</si>
  <si>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</si>
  <si>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</si>
  <si>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</si>
  <si>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</si>
  <si>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</si>
  <si>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</si>
  <si>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</si>
  <si>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</si>
  <si>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</si>
  <si>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</si>
  <si>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</si>
  <si>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</si>
  <si>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</si>
  <si>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</si>
  <si>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</si>
  <si>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</si>
  <si>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</si>
  <si>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</si>
  <si>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</si>
  <si>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</si>
  <si>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</si>
  <si>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</si>
  <si>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</si>
  <si>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</si>
  <si>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</si>
  <si>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</si>
  <si>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</si>
  <si>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</si>
  <si>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</si>
  <si>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</si>
  <si>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</si>
  <si>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</si>
  <si>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</si>
  <si>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</si>
  <si>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</si>
  <si>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</si>
  <si>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</si>
  <si>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</si>
  <si>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</si>
  <si>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</si>
  <si>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</si>
  <si>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</si>
  <si>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</si>
  <si>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</si>
  <si>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</si>
  <si>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</si>
  <si>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</si>
  <si>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</si>
  <si>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</si>
  <si>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</si>
  <si>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</si>
  <si>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</si>
  <si>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</si>
  <si>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</si>
  <si>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</si>
  <si>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</si>
  <si>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</si>
  <si>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</si>
  <si>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</si>
  <si>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</si>
  <si>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</si>
  <si>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</si>
  <si>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</si>
  <si>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</si>
  <si>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</si>
  <si>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Each Weight</t>
  </si>
  <si>
    <t>Case Weight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</si>
  <si>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</si>
  <si>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</si>
  <si>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</si>
  <si>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</si>
  <si>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</si>
  <si>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</si>
  <si>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</si>
  <si>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</si>
  <si>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</si>
  <si>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</si>
  <si>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</si>
  <si>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</si>
  <si>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</si>
  <si>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</si>
  <si>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</si>
  <si>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</si>
  <si>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</si>
  <si>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</si>
  <si>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</si>
  <si>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2017 NEW PRODUCT INTRODUCTION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</si>
  <si>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</si>
  <si>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</si>
  <si>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</si>
  <si>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</si>
  <si>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</si>
  <si>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</si>
  <si>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</si>
  <si>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</si>
  <si>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</si>
  <si>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</si>
  <si>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</si>
  <si>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</si>
  <si>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</si>
  <si>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</si>
  <si>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</si>
  <si>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RS5387  KIT</t>
  </si>
  <si>
    <t>P953446</t>
  </si>
  <si>
    <t>AF25119</t>
  </si>
  <si>
    <t>AF2454</t>
  </si>
  <si>
    <t>WA10060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</si>
  <si>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</si>
  <si>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</si>
  <si>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</si>
  <si>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</si>
  <si>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</si>
  <si>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</si>
  <si>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</si>
  <si>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</si>
  <si>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</si>
  <si>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</si>
  <si>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</si>
  <si>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</si>
  <si>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</si>
  <si>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</si>
  <si>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LP5090A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</si>
  <si>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</si>
  <si>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</si>
  <si>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</si>
  <si>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</si>
  <si>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</si>
  <si>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</si>
  <si>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</si>
  <si>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</si>
  <si>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</si>
  <si>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</si>
  <si>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</si>
  <si>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</si>
  <si>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</si>
  <si>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</si>
  <si>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</si>
  <si>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</si>
  <si>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</si>
  <si>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</si>
  <si>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</si>
  <si>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</si>
  <si>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</si>
  <si>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</si>
  <si>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</si>
  <si>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</si>
  <si>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</si>
  <si>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</si>
  <si>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</si>
  <si>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</si>
  <si>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</si>
  <si>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</si>
  <si>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</si>
  <si>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</si>
  <si>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</si>
  <si>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</si>
  <si>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</si>
  <si>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2017 DISTRIBUTOR PRICE UPDATE</t>
  </si>
  <si>
    <t>*** Maintenance Kit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</si>
  <si>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</si>
  <si>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</si>
  <si>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</si>
  <si>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</si>
  <si>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</si>
  <si>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</si>
  <si>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</si>
  <si>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</si>
  <si>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</si>
  <si>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</si>
  <si>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</si>
  <si>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</si>
  <si>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</si>
  <si>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</si>
  <si>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</si>
  <si>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</si>
  <si>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</si>
  <si>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</si>
  <si>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</si>
  <si>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</si>
  <si>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</si>
  <si>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</si>
  <si>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</si>
  <si>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</si>
  <si>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</si>
  <si>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</si>
  <si>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</si>
  <si>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</si>
  <si>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</si>
  <si>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</si>
  <si>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</si>
  <si>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>038568739872</t>
  </si>
  <si>
    <t>10038568739879</t>
  </si>
  <si>
    <t>yes</t>
  </si>
  <si>
    <t>LAF5518MXM</t>
  </si>
  <si>
    <t>NanoTech  Outer Air Filter</t>
  </si>
  <si>
    <t>038568745286</t>
  </si>
  <si>
    <t>10038568745283</t>
  </si>
  <si>
    <t>LAF4816MXM</t>
  </si>
  <si>
    <t>NanoTech Radial Seal Outer Air Filter</t>
  </si>
  <si>
    <t>038568745293</t>
  </si>
  <si>
    <t>10038568745290</t>
  </si>
  <si>
    <t>LAF6986MXM</t>
  </si>
  <si>
    <t>038568745309</t>
  </si>
  <si>
    <t>10038568745306</t>
  </si>
  <si>
    <t>RS5442</t>
  </si>
  <si>
    <t>P601767</t>
  </si>
  <si>
    <t>PA2361XP</t>
  </si>
  <si>
    <t>RS3539XP</t>
  </si>
  <si>
    <t>DBA5100</t>
  </si>
  <si>
    <t>AF25247</t>
  </si>
  <si>
    <t>RS5288XP</t>
  </si>
  <si>
    <t>DBA5296</t>
  </si>
  <si>
    <t xml:space="preserve">Tigercat 720D Logging Equipment  </t>
  </si>
  <si>
    <t>Fiat Allis Crawler Tractors  (For Sec. air use LAF5526)</t>
  </si>
  <si>
    <t>Donaldson ERA13 Housing (Radial Seal), Freightliner, Kenworth, Peterbilt, Western Star Trucks</t>
  </si>
  <si>
    <t xml:space="preserve">Kenworth T800 and Peterbilt 388 trucks </t>
  </si>
  <si>
    <t>NanoTech Outer Air Filter</t>
  </si>
  <si>
    <t>1221E Wheel Loaders  Extended/Severe service version of LAF6453</t>
  </si>
  <si>
    <t>LAF4556MXM</t>
  </si>
  <si>
    <t>RS5287XP</t>
  </si>
  <si>
    <t>PA2456XP</t>
  </si>
  <si>
    <t>DBA5295</t>
  </si>
  <si>
    <t>038568745354</t>
  </si>
  <si>
    <t>10038568745351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</si>
  <si>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</si>
  <si>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</si>
  <si>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</si>
  <si>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</si>
  <si>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</si>
  <si>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</si>
  <si>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</si>
  <si>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</si>
  <si>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</si>
  <si>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</si>
  <si>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</si>
  <si>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</si>
  <si>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</si>
  <si>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None</t>
  </si>
  <si>
    <t>LAF7417</t>
  </si>
  <si>
    <t>LAF5782</t>
  </si>
  <si>
    <t>Inventory Available CND Warehouse</t>
  </si>
  <si>
    <t>LAK1</t>
  </si>
  <si>
    <t>Case, Caterpillar, Driltech, KW-Dart, Terex, WABCO Equipment; Euclid, Komatsu Trucks</t>
  </si>
  <si>
    <t>038568745439</t>
  </si>
  <si>
    <t xml:space="preserve">HISTORICAL RECAP DECEMBER 2012 - DECEMBER 2017 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</si>
  <si>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</si>
  <si>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</si>
  <si>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</si>
  <si>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</si>
  <si>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</si>
  <si>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</si>
  <si>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</si>
  <si>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</si>
  <si>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LH95117V</t>
  </si>
  <si>
    <t>HD Metal-End Air Filter</t>
  </si>
  <si>
    <t>LFF3293</t>
  </si>
  <si>
    <t>Bowl Style Fuel Water Separator</t>
  </si>
  <si>
    <t>Obsolete - Superseded by LFF3294</t>
  </si>
  <si>
    <t>LAF8825</t>
  </si>
  <si>
    <t>LAF6151</t>
  </si>
  <si>
    <t>LFP5825</t>
  </si>
  <si>
    <t xml:space="preserve">500-C REFINING UNIT       </t>
  </si>
  <si>
    <t>CAF24014</t>
  </si>
  <si>
    <t>LFW2125</t>
  </si>
  <si>
    <t>Controlled Release Spin-on Coolant Filter</t>
  </si>
  <si>
    <t>Cartridge Hydraulic Filter</t>
  </si>
  <si>
    <t>Spin-on Oil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</si>
</sst>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</numFmts>
  <fonts count="6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C0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680">
    <xf numFmtId="0" fontId="0" fillId="0" borderId="0"/>
    <xf numFmtId="0" fontId="15" fillId="0" borderId="0"/>
    <xf numFmtId="44" fontId="24" fillId="0" borderId="0" applyFon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5" applyNumberFormat="0" applyAlignment="0" applyProtection="0"/>
    <xf numFmtId="0" fontId="58" fillId="20" borderId="16" applyNumberFormat="0" applyAlignment="0" applyProtection="0"/>
    <xf numFmtId="0" fontId="59" fillId="20" borderId="15" applyNumberFormat="0" applyAlignment="0" applyProtection="0"/>
    <xf numFmtId="0" fontId="60" fillId="0" borderId="17" applyNumberFormat="0" applyFill="0" applyAlignment="0" applyProtection="0"/>
    <xf numFmtId="0" fontId="36" fillId="21" borderId="18" applyNumberFormat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6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15" fillId="0" borderId="0"/>
    <xf numFmtId="0" fontId="15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12" borderId="0" xfId="0" applyFill="1"/>
    <xf numFmtId="0" fontId="6" fillId="13" borderId="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 wrapText="1"/>
    </xf>
    <xf numFmtId="49" fontId="6" fillId="13" borderId="0" xfId="0" applyNumberFormat="1" applyFont="1" applyFill="1" applyBorder="1" applyAlignment="1">
      <alignment wrapText="1"/>
    </xf>
    <xf numFmtId="0" fontId="0" fillId="12" borderId="9" xfId="0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27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0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4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0" fontId="32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center" vertical="center"/>
    </xf>
    <xf numFmtId="49" fontId="31" fillId="15" borderId="1" xfId="0" applyNumberFormat="1" applyFont="1" applyFill="1" applyBorder="1" applyAlignment="1">
      <alignment horizontal="center" vertical="center" wrapText="1"/>
    </xf>
    <xf numFmtId="0" fontId="9" fillId="15" borderId="1" xfId="0" applyNumberFormat="1" applyFont="1" applyFill="1" applyBorder="1" applyAlignment="1">
      <alignment horizontal="center" vertical="center"/>
    </xf>
    <xf numFmtId="0" fontId="11" fillId="15" borderId="1" xfId="0" applyNumberFormat="1" applyFont="1" applyFill="1" applyBorder="1" applyAlignment="1">
      <alignment horizontal="center" vertical="center"/>
    </xf>
    <xf numFmtId="0" fontId="30" fillId="15" borderId="1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1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2" fontId="0" fillId="12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12" borderId="1" xfId="0" quotePrefix="1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12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2" borderId="2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1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65" fontId="0" fillId="1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 vertical="center"/>
    </xf>
    <xf numFmtId="168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44" fontId="0" fillId="0" borderId="1" xfId="2" applyFont="1" applyBorder="1"/>
    <xf numFmtId="0" fontId="1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/>
    </xf>
    <xf numFmtId="0" fontId="16" fillId="12" borderId="1" xfId="0" quotePrefix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/>
    <xf numFmtId="2" fontId="0" fillId="7" borderId="1" xfId="0" applyNumberForma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5" fontId="16" fillId="12" borderId="1" xfId="0" applyNumberFormat="1" applyFont="1" applyFill="1" applyBorder="1" applyAlignment="1">
      <alignment horizontal="center" vertical="center"/>
    </xf>
    <xf numFmtId="165" fontId="16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quotePrefix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3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39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0" fontId="39" fillId="49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5" fontId="24" fillId="12" borderId="1" xfId="7345" applyNumberFormat="1" applyFill="1" applyBorder="1" applyAlignment="1">
      <alignment horizontal="center" vertical="center"/>
    </xf>
    <xf numFmtId="1" fontId="30" fillId="15" borderId="1" xfId="0" applyNumberFormat="1" applyFont="1" applyFill="1" applyBorder="1" applyAlignment="1">
      <alignment horizontal="center" vertical="center" wrapText="1"/>
    </xf>
    <xf numFmtId="0" fontId="64" fillId="15" borderId="11" xfId="0" applyNumberFormat="1" applyFont="1" applyFill="1" applyBorder="1" applyAlignment="1">
      <alignment horizontal="center" vertical="center"/>
    </xf>
    <xf numFmtId="164" fontId="0" fillId="0" borderId="1" xfId="45679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quotePrefix="1" applyNumberForma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3" fontId="24" fillId="0" borderId="1" xfId="45679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45679" applyNumberFormat="1" applyFont="1" applyBorder="1" applyAlignment="1">
      <alignment horizontal="center"/>
    </xf>
    <xf numFmtId="165" fontId="0" fillId="15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center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65" fillId="0" borderId="3" xfId="0" applyNumberFormat="1" applyFont="1" applyFill="1" applyBorder="1" applyAlignment="1">
      <alignment horizontal="center" vertical="center"/>
    </xf>
    <xf numFmtId="165" fontId="65" fillId="0" borderId="4" xfId="0" applyNumberFormat="1" applyFont="1" applyFill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 vertical="center"/>
    </xf>
    <xf numFmtId="49" fontId="23" fillId="10" borderId="1" xfId="0" applyNumberFormat="1" applyFont="1" applyFill="1" applyBorder="1" applyAlignment="1">
      <alignment horizontal="left" vertical="center" wrapText="1"/>
    </xf>
    <xf numFmtId="0" fontId="29" fillId="14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21" fillId="6" borderId="3" xfId="0" applyNumberFormat="1" applyFont="1" applyFill="1" applyBorder="1" applyAlignment="1">
      <alignment horizontal="left"/>
    </xf>
    <xf numFmtId="49" fontId="21" fillId="6" borderId="4" xfId="0" applyNumberFormat="1" applyFont="1" applyFill="1" applyBorder="1" applyAlignment="1">
      <alignment horizontal="left"/>
    </xf>
    <xf numFmtId="49" fontId="21" fillId="6" borderId="2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 wrapText="1"/>
    </xf>
    <xf numFmtId="0" fontId="65" fillId="0" borderId="3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5" fontId="16" fillId="12" borderId="3" xfId="0" quotePrefix="1" applyNumberFormat="1" applyFont="1" applyFill="1" applyBorder="1" applyAlignment="1">
      <alignment horizontal="center" vertical="center" wrapText="1"/>
    </xf>
    <xf numFmtId="165" fontId="16" fillId="12" borderId="4" xfId="0" quotePrefix="1" applyNumberFormat="1" applyFont="1" applyFill="1" applyBorder="1" applyAlignment="1">
      <alignment horizontal="center" vertical="center" wrapText="1"/>
    </xf>
    <xf numFmtId="165" fontId="16" fillId="12" borderId="2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</cellXfs>
  <cellStyles count="45680">
    <cellStyle name="20% - Accent1" xfId="21" builtinId="30" customBuiltin="1"/>
    <cellStyle name="20% - Accent1 10" xfId="458"/>
    <cellStyle name="20% - Accent1 10 10" xfId="6689"/>
    <cellStyle name="20% - Accent1 10 10 2" xfId="29464"/>
    <cellStyle name="20% - Accent1 10 11" xfId="7345"/>
    <cellStyle name="20% - Accent1 10 11 2" xfId="30120"/>
    <cellStyle name="20% - Accent1 10 12" xfId="8001"/>
    <cellStyle name="20% - Accent1 10 12 2" xfId="30776"/>
    <cellStyle name="20% - Accent1 10 13" xfId="8657"/>
    <cellStyle name="20% - Accent1 10 13 2" xfId="31432"/>
    <cellStyle name="20% - Accent1 10 14" xfId="9313"/>
    <cellStyle name="20% - Accent1 10 14 2" xfId="32088"/>
    <cellStyle name="20% - Accent1 10 15" xfId="9969"/>
    <cellStyle name="20% - Accent1 10 15 2" xfId="32744"/>
    <cellStyle name="20% - Accent1 10 16" xfId="10625"/>
    <cellStyle name="20% - Accent1 10 16 2" xfId="33400"/>
    <cellStyle name="20% - Accent1 10 17" xfId="11281"/>
    <cellStyle name="20% - Accent1 10 17 2" xfId="34056"/>
    <cellStyle name="20% - Accent1 10 18" xfId="11937"/>
    <cellStyle name="20% - Accent1 10 18 2" xfId="34712"/>
    <cellStyle name="20% - Accent1 10 19" xfId="12593"/>
    <cellStyle name="20% - Accent1 10 19 2" xfId="35368"/>
    <cellStyle name="20% - Accent1 10 2" xfId="785"/>
    <cellStyle name="20% - Accent1 10 2 10" xfId="8329"/>
    <cellStyle name="20% - Accent1 10 2 10 2" xfId="31104"/>
    <cellStyle name="20% - Accent1 10 2 11" xfId="8985"/>
    <cellStyle name="20% - Accent1 10 2 11 2" xfId="31760"/>
    <cellStyle name="20% - Accent1 10 2 12" xfId="9641"/>
    <cellStyle name="20% - Accent1 10 2 12 2" xfId="32416"/>
    <cellStyle name="20% - Accent1 10 2 13" xfId="10297"/>
    <cellStyle name="20% - Accent1 10 2 13 2" xfId="33072"/>
    <cellStyle name="20% - Accent1 10 2 14" xfId="10953"/>
    <cellStyle name="20% - Accent1 10 2 14 2" xfId="33728"/>
    <cellStyle name="20% - Accent1 10 2 15" xfId="11609"/>
    <cellStyle name="20% - Accent1 10 2 15 2" xfId="34384"/>
    <cellStyle name="20% - Accent1 10 2 16" xfId="12265"/>
    <cellStyle name="20% - Accent1 10 2 16 2" xfId="35040"/>
    <cellStyle name="20% - Accent1 10 2 17" xfId="12921"/>
    <cellStyle name="20% - Accent1 10 2 17 2" xfId="35696"/>
    <cellStyle name="20% - Accent1 10 2 18" xfId="13577"/>
    <cellStyle name="20% - Accent1 10 2 18 2" xfId="36352"/>
    <cellStyle name="20% - Accent1 10 2 19" xfId="14233"/>
    <cellStyle name="20% - Accent1 10 2 19 2" xfId="37008"/>
    <cellStyle name="20% - Accent1 10 2 2" xfId="1441"/>
    <cellStyle name="20% - Accent1 10 2 2 2" xfId="3737"/>
    <cellStyle name="20% - Accent1 10 2 2 2 2" xfId="26512"/>
    <cellStyle name="20% - Accent1 10 2 2 3" xfId="24216"/>
    <cellStyle name="20% - Accent1 10 2 20" xfId="14889"/>
    <cellStyle name="20% - Accent1 10 2 20 2" xfId="37664"/>
    <cellStyle name="20% - Accent1 10 2 21" xfId="15545"/>
    <cellStyle name="20% - Accent1 10 2 21 2" xfId="38320"/>
    <cellStyle name="20% - Accent1 10 2 22" xfId="16201"/>
    <cellStyle name="20% - Accent1 10 2 22 2" xfId="38976"/>
    <cellStyle name="20% - Accent1 10 2 23" xfId="16857"/>
    <cellStyle name="20% - Accent1 10 2 23 2" xfId="39632"/>
    <cellStyle name="20% - Accent1 10 2 24" xfId="17513"/>
    <cellStyle name="20% - Accent1 10 2 24 2" xfId="40288"/>
    <cellStyle name="20% - Accent1 10 2 25" xfId="18169"/>
    <cellStyle name="20% - Accent1 10 2 25 2" xfId="40944"/>
    <cellStyle name="20% - Accent1 10 2 26" xfId="18825"/>
    <cellStyle name="20% - Accent1 10 2 26 2" xfId="41600"/>
    <cellStyle name="20% - Accent1 10 2 27" xfId="19481"/>
    <cellStyle name="20% - Accent1 10 2 27 2" xfId="42256"/>
    <cellStyle name="20% - Accent1 10 2 28" xfId="20137"/>
    <cellStyle name="20% - Accent1 10 2 28 2" xfId="42912"/>
    <cellStyle name="20% - Accent1 10 2 29" xfId="20793"/>
    <cellStyle name="20% - Accent1 10 2 29 2" xfId="43568"/>
    <cellStyle name="20% - Accent1 10 2 3" xfId="2097"/>
    <cellStyle name="20% - Accent1 10 2 3 2" xfId="4393"/>
    <cellStyle name="20% - Accent1 10 2 3 2 2" xfId="27168"/>
    <cellStyle name="20% - Accent1 10 2 3 3" xfId="24872"/>
    <cellStyle name="20% - Accent1 10 2 30" xfId="21449"/>
    <cellStyle name="20% - Accent1 10 2 30 2" xfId="44224"/>
    <cellStyle name="20% - Accent1 10 2 31" xfId="22105"/>
    <cellStyle name="20% - Accent1 10 2 31 2" xfId="44880"/>
    <cellStyle name="20% - Accent1 10 2 32" xfId="22761"/>
    <cellStyle name="20% - Accent1 10 2 32 2" xfId="45536"/>
    <cellStyle name="20% - Accent1 10 2 33" xfId="23560"/>
    <cellStyle name="20% - Accent1 10 2 4" xfId="5049"/>
    <cellStyle name="20% - Accent1 10 2 4 2" xfId="27824"/>
    <cellStyle name="20% - Accent1 10 2 5" xfId="5705"/>
    <cellStyle name="20% - Accent1 10 2 5 2" xfId="28480"/>
    <cellStyle name="20% - Accent1 10 2 6" xfId="6361"/>
    <cellStyle name="20% - Accent1 10 2 6 2" xfId="29136"/>
    <cellStyle name="20% - Accent1 10 2 7" xfId="3081"/>
    <cellStyle name="20% - Accent1 10 2 7 2" xfId="25856"/>
    <cellStyle name="20% - Accent1 10 2 8" xfId="7017"/>
    <cellStyle name="20% - Accent1 10 2 8 2" xfId="29792"/>
    <cellStyle name="20% - Accent1 10 2 9" xfId="7673"/>
    <cellStyle name="20% - Accent1 10 2 9 2" xfId="30448"/>
    <cellStyle name="20% - Accent1 10 20" xfId="13249"/>
    <cellStyle name="20% - Accent1 10 20 2" xfId="36024"/>
    <cellStyle name="20% - Accent1 10 21" xfId="13905"/>
    <cellStyle name="20% - Accent1 10 21 2" xfId="36680"/>
    <cellStyle name="20% - Accent1 10 22" xfId="14561"/>
    <cellStyle name="20% - Accent1 10 22 2" xfId="37336"/>
    <cellStyle name="20% - Accent1 10 23" xfId="15217"/>
    <cellStyle name="20% - Accent1 10 23 2" xfId="37992"/>
    <cellStyle name="20% - Accent1 10 24" xfId="15873"/>
    <cellStyle name="20% - Accent1 10 24 2" xfId="38648"/>
    <cellStyle name="20% - Accent1 10 25" xfId="16529"/>
    <cellStyle name="20% - Accent1 10 25 2" xfId="39304"/>
    <cellStyle name="20% - Accent1 10 26" xfId="17185"/>
    <cellStyle name="20% - Accent1 10 26 2" xfId="39960"/>
    <cellStyle name="20% - Accent1 10 27" xfId="17841"/>
    <cellStyle name="20% - Accent1 10 27 2" xfId="40616"/>
    <cellStyle name="20% - Accent1 10 28" xfId="18497"/>
    <cellStyle name="20% - Accent1 10 28 2" xfId="41272"/>
    <cellStyle name="20% - Accent1 10 29" xfId="19153"/>
    <cellStyle name="20% - Accent1 10 29 2" xfId="41928"/>
    <cellStyle name="20% - Accent1 10 3" xfId="1113"/>
    <cellStyle name="20% - Accent1 10 3 2" xfId="2753"/>
    <cellStyle name="20% - Accent1 10 3 2 2" xfId="25528"/>
    <cellStyle name="20% - Accent1 10 3 3" xfId="23888"/>
    <cellStyle name="20% - Accent1 10 30" xfId="19809"/>
    <cellStyle name="20% - Accent1 10 30 2" xfId="42584"/>
    <cellStyle name="20% - Accent1 10 31" xfId="20465"/>
    <cellStyle name="20% - Accent1 10 31 2" xfId="43240"/>
    <cellStyle name="20% - Accent1 10 32" xfId="21121"/>
    <cellStyle name="20% - Accent1 10 32 2" xfId="43896"/>
    <cellStyle name="20% - Accent1 10 33" xfId="21777"/>
    <cellStyle name="20% - Accent1 10 33 2" xfId="44552"/>
    <cellStyle name="20% - Accent1 10 34" xfId="22433"/>
    <cellStyle name="20% - Accent1 10 34 2" xfId="45208"/>
    <cellStyle name="20% - Accent1 10 35" xfId="23232"/>
    <cellStyle name="20% - Accent1 10 4" xfId="1769"/>
    <cellStyle name="20% - Accent1 10 4 2" xfId="3409"/>
    <cellStyle name="20% - Accent1 10 4 2 2" xfId="26184"/>
    <cellStyle name="20% - Accent1 10 4 3" xfId="24544"/>
    <cellStyle name="20% - Accent1 10 5" xfId="4065"/>
    <cellStyle name="20% - Accent1 10 5 2" xfId="26840"/>
    <cellStyle name="20% - Accent1 10 6" xfId="4721"/>
    <cellStyle name="20% - Accent1 10 6 2" xfId="27496"/>
    <cellStyle name="20% - Accent1 10 7" xfId="5377"/>
    <cellStyle name="20% - Accent1 10 7 2" xfId="28152"/>
    <cellStyle name="20% - Accent1 10 8" xfId="6033"/>
    <cellStyle name="20% - Accent1 10 8 2" xfId="28808"/>
    <cellStyle name="20% - Accent1 10 9" xfId="2425"/>
    <cellStyle name="20% - Accent1 10 9 2" xfId="25200"/>
    <cellStyle name="20% - Accent1 11" xfId="600"/>
    <cellStyle name="20% - Accent1 11 10" xfId="8144"/>
    <cellStyle name="20% - Accent1 11 10 2" xfId="30919"/>
    <cellStyle name="20% - Accent1 11 11" xfId="8800"/>
    <cellStyle name="20% - Accent1 11 11 2" xfId="31575"/>
    <cellStyle name="20% - Accent1 11 12" xfId="9456"/>
    <cellStyle name="20% - Accent1 11 12 2" xfId="32231"/>
    <cellStyle name="20% - Accent1 11 13" xfId="10112"/>
    <cellStyle name="20% - Accent1 11 13 2" xfId="32887"/>
    <cellStyle name="20% - Accent1 11 14" xfId="10768"/>
    <cellStyle name="20% - Accent1 11 14 2" xfId="33543"/>
    <cellStyle name="20% - Accent1 11 15" xfId="11424"/>
    <cellStyle name="20% - Accent1 11 15 2" xfId="34199"/>
    <cellStyle name="20% - Accent1 11 16" xfId="12080"/>
    <cellStyle name="20% - Accent1 11 16 2" xfId="34855"/>
    <cellStyle name="20% - Accent1 11 17" xfId="12736"/>
    <cellStyle name="20% - Accent1 11 17 2" xfId="35511"/>
    <cellStyle name="20% - Accent1 11 18" xfId="13392"/>
    <cellStyle name="20% - Accent1 11 18 2" xfId="36167"/>
    <cellStyle name="20% - Accent1 11 19" xfId="14048"/>
    <cellStyle name="20% - Accent1 11 19 2" xfId="36823"/>
    <cellStyle name="20% - Accent1 11 2" xfId="1256"/>
    <cellStyle name="20% - Accent1 11 2 2" xfId="3552"/>
    <cellStyle name="20% - Accent1 11 2 2 2" xfId="26327"/>
    <cellStyle name="20% - Accent1 11 2 3" xfId="24031"/>
    <cellStyle name="20% - Accent1 11 20" xfId="14704"/>
    <cellStyle name="20% - Accent1 11 20 2" xfId="37479"/>
    <cellStyle name="20% - Accent1 11 21" xfId="15360"/>
    <cellStyle name="20% - Accent1 11 21 2" xfId="38135"/>
    <cellStyle name="20% - Accent1 11 22" xfId="16016"/>
    <cellStyle name="20% - Accent1 11 22 2" xfId="38791"/>
    <cellStyle name="20% - Accent1 11 23" xfId="16672"/>
    <cellStyle name="20% - Accent1 11 23 2" xfId="39447"/>
    <cellStyle name="20% - Accent1 11 24" xfId="17328"/>
    <cellStyle name="20% - Accent1 11 24 2" xfId="40103"/>
    <cellStyle name="20% - Accent1 11 25" xfId="17984"/>
    <cellStyle name="20% - Accent1 11 25 2" xfId="40759"/>
    <cellStyle name="20% - Accent1 11 26" xfId="18640"/>
    <cellStyle name="20% - Accent1 11 26 2" xfId="41415"/>
    <cellStyle name="20% - Accent1 11 27" xfId="19296"/>
    <cellStyle name="20% - Accent1 11 27 2" xfId="42071"/>
    <cellStyle name="20% - Accent1 11 28" xfId="19952"/>
    <cellStyle name="20% - Accent1 11 28 2" xfId="42727"/>
    <cellStyle name="20% - Accent1 11 29" xfId="20608"/>
    <cellStyle name="20% - Accent1 11 29 2" xfId="43383"/>
    <cellStyle name="20% - Accent1 11 3" xfId="1912"/>
    <cellStyle name="20% - Accent1 11 3 2" xfId="4208"/>
    <cellStyle name="20% - Accent1 11 3 2 2" xfId="26983"/>
    <cellStyle name="20% - Accent1 11 3 3" xfId="24687"/>
    <cellStyle name="20% - Accent1 11 30" xfId="21264"/>
    <cellStyle name="20% - Accent1 11 30 2" xfId="44039"/>
    <cellStyle name="20% - Accent1 11 31" xfId="21920"/>
    <cellStyle name="20% - Accent1 11 31 2" xfId="44695"/>
    <cellStyle name="20% - Accent1 11 32" xfId="22576"/>
    <cellStyle name="20% - Accent1 11 32 2" xfId="45351"/>
    <cellStyle name="20% - Accent1 11 33" xfId="23375"/>
    <cellStyle name="20% - Accent1 11 4" xfId="4864"/>
    <cellStyle name="20% - Accent1 11 4 2" xfId="27639"/>
    <cellStyle name="20% - Accent1 11 5" xfId="5520"/>
    <cellStyle name="20% - Accent1 11 5 2" xfId="28295"/>
    <cellStyle name="20% - Accent1 11 6" xfId="6176"/>
    <cellStyle name="20% - Accent1 11 6 2" xfId="28951"/>
    <cellStyle name="20% - Accent1 11 7" xfId="2896"/>
    <cellStyle name="20% - Accent1 11 7 2" xfId="25671"/>
    <cellStyle name="20% - Accent1 11 8" xfId="6832"/>
    <cellStyle name="20% - Accent1 11 8 2" xfId="29607"/>
    <cellStyle name="20% - Accent1 11 9" xfId="7488"/>
    <cellStyle name="20% - Accent1 11 9 2" xfId="30263"/>
    <cellStyle name="20% - Accent1 12" xfId="273"/>
    <cellStyle name="20% - Accent1 12 2" xfId="2568"/>
    <cellStyle name="20% - Accent1 12 2 2" xfId="25343"/>
    <cellStyle name="20% - Accent1 12 3" xfId="23047"/>
    <cellStyle name="20% - Accent1 13" xfId="928"/>
    <cellStyle name="20% - Accent1 13 2" xfId="3224"/>
    <cellStyle name="20% - Accent1 13 2 2" xfId="25999"/>
    <cellStyle name="20% - Accent1 13 3" xfId="23703"/>
    <cellStyle name="20% - Accent1 14" xfId="1584"/>
    <cellStyle name="20% - Accent1 14 2" xfId="3880"/>
    <cellStyle name="20% - Accent1 14 2 2" xfId="26655"/>
    <cellStyle name="20% - Accent1 14 3" xfId="24359"/>
    <cellStyle name="20% - Accent1 15" xfId="4536"/>
    <cellStyle name="20% - Accent1 15 2" xfId="27311"/>
    <cellStyle name="20% - Accent1 16" xfId="5192"/>
    <cellStyle name="20% - Accent1 16 2" xfId="27967"/>
    <cellStyle name="20% - Accent1 17" xfId="5848"/>
    <cellStyle name="20% - Accent1 17 2" xfId="28623"/>
    <cellStyle name="20% - Accent1 18" xfId="2240"/>
    <cellStyle name="20% - Accent1 18 2" xfId="25015"/>
    <cellStyle name="20% - Accent1 19" xfId="6504"/>
    <cellStyle name="20% - Accent1 19 2" xfId="29279"/>
    <cellStyle name="20% - Accent1 2" xfId="68"/>
    <cellStyle name="20% - Accent1 2 10" xfId="5864"/>
    <cellStyle name="20% - Accent1 2 10 2" xfId="28639"/>
    <cellStyle name="20% - Accent1 2 11" xfId="2256"/>
    <cellStyle name="20% - Accent1 2 11 2" xfId="25031"/>
    <cellStyle name="20% - Accent1 2 12" xfId="6520"/>
    <cellStyle name="20% - Accent1 2 12 2" xfId="29295"/>
    <cellStyle name="20% - Accent1 2 13" xfId="7176"/>
    <cellStyle name="20% - Accent1 2 13 2" xfId="29951"/>
    <cellStyle name="20% - Accent1 2 14" xfId="7832"/>
    <cellStyle name="20% - Accent1 2 14 2" xfId="30607"/>
    <cellStyle name="20% - Accent1 2 15" xfId="8488"/>
    <cellStyle name="20% - Accent1 2 15 2" xfId="31263"/>
    <cellStyle name="20% - Accent1 2 16" xfId="9144"/>
    <cellStyle name="20% - Accent1 2 16 2" xfId="31919"/>
    <cellStyle name="20% - Accent1 2 17" xfId="9800"/>
    <cellStyle name="20% - Accent1 2 17 2" xfId="32575"/>
    <cellStyle name="20% - Accent1 2 18" xfId="10456"/>
    <cellStyle name="20% - Accent1 2 18 2" xfId="33231"/>
    <cellStyle name="20% - Accent1 2 19" xfId="11112"/>
    <cellStyle name="20% - Accent1 2 19 2" xfId="33887"/>
    <cellStyle name="20% - Accent1 2 2" xfId="144"/>
    <cellStyle name="20% - Accent1 2 2 10" xfId="2342"/>
    <cellStyle name="20% - Accent1 2 2 10 2" xfId="25117"/>
    <cellStyle name="20% - Accent1 2 2 11" xfId="6606"/>
    <cellStyle name="20% - Accent1 2 2 11 2" xfId="29381"/>
    <cellStyle name="20% - Accent1 2 2 12" xfId="7262"/>
    <cellStyle name="20% - Accent1 2 2 12 2" xfId="30037"/>
    <cellStyle name="20% - Accent1 2 2 13" xfId="7918"/>
    <cellStyle name="20% - Accent1 2 2 13 2" xfId="30693"/>
    <cellStyle name="20% - Accent1 2 2 14" xfId="8574"/>
    <cellStyle name="20% - Accent1 2 2 14 2" xfId="31349"/>
    <cellStyle name="20% - Accent1 2 2 15" xfId="9230"/>
    <cellStyle name="20% - Accent1 2 2 15 2" xfId="32005"/>
    <cellStyle name="20% - Accent1 2 2 16" xfId="9886"/>
    <cellStyle name="20% - Accent1 2 2 16 2" xfId="32661"/>
    <cellStyle name="20% - Accent1 2 2 17" xfId="10542"/>
    <cellStyle name="20% - Accent1 2 2 17 2" xfId="33317"/>
    <cellStyle name="20% - Accent1 2 2 18" xfId="11198"/>
    <cellStyle name="20% - Accent1 2 2 18 2" xfId="33973"/>
    <cellStyle name="20% - Accent1 2 2 19" xfId="11854"/>
    <cellStyle name="20% - Accent1 2 2 19 2" xfId="34629"/>
    <cellStyle name="20% - Accent1 2 2 2" xfId="558"/>
    <cellStyle name="20% - Accent1 2 2 2 10" xfId="6791"/>
    <cellStyle name="20% - Accent1 2 2 2 10 2" xfId="29566"/>
    <cellStyle name="20% - Accent1 2 2 2 11" xfId="7447"/>
    <cellStyle name="20% - Accent1 2 2 2 11 2" xfId="30222"/>
    <cellStyle name="20% - Accent1 2 2 2 12" xfId="8103"/>
    <cellStyle name="20% - Accent1 2 2 2 12 2" xfId="30878"/>
    <cellStyle name="20% - Accent1 2 2 2 13" xfId="8759"/>
    <cellStyle name="20% - Accent1 2 2 2 13 2" xfId="31534"/>
    <cellStyle name="20% - Accent1 2 2 2 14" xfId="9415"/>
    <cellStyle name="20% - Accent1 2 2 2 14 2" xfId="32190"/>
    <cellStyle name="20% - Accent1 2 2 2 15" xfId="10071"/>
    <cellStyle name="20% - Accent1 2 2 2 15 2" xfId="32846"/>
    <cellStyle name="20% - Accent1 2 2 2 16" xfId="10727"/>
    <cellStyle name="20% - Accent1 2 2 2 16 2" xfId="33502"/>
    <cellStyle name="20% - Accent1 2 2 2 17" xfId="11383"/>
    <cellStyle name="20% - Accent1 2 2 2 17 2" xfId="34158"/>
    <cellStyle name="20% - Accent1 2 2 2 18" xfId="12039"/>
    <cellStyle name="20% - Accent1 2 2 2 18 2" xfId="34814"/>
    <cellStyle name="20% - Accent1 2 2 2 19" xfId="12695"/>
    <cellStyle name="20% - Accent1 2 2 2 19 2" xfId="35470"/>
    <cellStyle name="20% - Accent1 2 2 2 2" xfId="887"/>
    <cellStyle name="20% - Accent1 2 2 2 2 10" xfId="8431"/>
    <cellStyle name="20% - Accent1 2 2 2 2 10 2" xfId="31206"/>
    <cellStyle name="20% - Accent1 2 2 2 2 11" xfId="9087"/>
    <cellStyle name="20% - Accent1 2 2 2 2 11 2" xfId="31862"/>
    <cellStyle name="20% - Accent1 2 2 2 2 12" xfId="9743"/>
    <cellStyle name="20% - Accent1 2 2 2 2 12 2" xfId="32518"/>
    <cellStyle name="20% - Accent1 2 2 2 2 13" xfId="10399"/>
    <cellStyle name="20% - Accent1 2 2 2 2 13 2" xfId="33174"/>
    <cellStyle name="20% - Accent1 2 2 2 2 14" xfId="11055"/>
    <cellStyle name="20% - Accent1 2 2 2 2 14 2" xfId="33830"/>
    <cellStyle name="20% - Accent1 2 2 2 2 15" xfId="11711"/>
    <cellStyle name="20% - Accent1 2 2 2 2 15 2" xfId="34486"/>
    <cellStyle name="20% - Accent1 2 2 2 2 16" xfId="12367"/>
    <cellStyle name="20% - Accent1 2 2 2 2 16 2" xfId="35142"/>
    <cellStyle name="20% - Accent1 2 2 2 2 17" xfId="13023"/>
    <cellStyle name="20% - Accent1 2 2 2 2 17 2" xfId="35798"/>
    <cellStyle name="20% - Accent1 2 2 2 2 18" xfId="13679"/>
    <cellStyle name="20% - Accent1 2 2 2 2 18 2" xfId="36454"/>
    <cellStyle name="20% - Accent1 2 2 2 2 19" xfId="14335"/>
    <cellStyle name="20% - Accent1 2 2 2 2 19 2" xfId="37110"/>
    <cellStyle name="20% - Accent1 2 2 2 2 2" xfId="1543"/>
    <cellStyle name="20% - Accent1 2 2 2 2 2 2" xfId="3839"/>
    <cellStyle name="20% - Accent1 2 2 2 2 2 2 2" xfId="26614"/>
    <cellStyle name="20% - Accent1 2 2 2 2 2 3" xfId="24318"/>
    <cellStyle name="20% - Accent1 2 2 2 2 20" xfId="14991"/>
    <cellStyle name="20% - Accent1 2 2 2 2 20 2" xfId="37766"/>
    <cellStyle name="20% - Accent1 2 2 2 2 21" xfId="15647"/>
    <cellStyle name="20% - Accent1 2 2 2 2 21 2" xfId="38422"/>
    <cellStyle name="20% - Accent1 2 2 2 2 22" xfId="16303"/>
    <cellStyle name="20% - Accent1 2 2 2 2 22 2" xfId="39078"/>
    <cellStyle name="20% - Accent1 2 2 2 2 23" xfId="16959"/>
    <cellStyle name="20% - Accent1 2 2 2 2 23 2" xfId="39734"/>
    <cellStyle name="20% - Accent1 2 2 2 2 24" xfId="17615"/>
    <cellStyle name="20% - Accent1 2 2 2 2 24 2" xfId="40390"/>
    <cellStyle name="20% - Accent1 2 2 2 2 25" xfId="18271"/>
    <cellStyle name="20% - Accent1 2 2 2 2 25 2" xfId="41046"/>
    <cellStyle name="20% - Accent1 2 2 2 2 26" xfId="18927"/>
    <cellStyle name="20% - Accent1 2 2 2 2 26 2" xfId="41702"/>
    <cellStyle name="20% - Accent1 2 2 2 2 27" xfId="19583"/>
    <cellStyle name="20% - Accent1 2 2 2 2 27 2" xfId="42358"/>
    <cellStyle name="20% - Accent1 2 2 2 2 28" xfId="20239"/>
    <cellStyle name="20% - Accent1 2 2 2 2 28 2" xfId="43014"/>
    <cellStyle name="20% - Accent1 2 2 2 2 29" xfId="20895"/>
    <cellStyle name="20% - Accent1 2 2 2 2 29 2" xfId="43670"/>
    <cellStyle name="20% - Accent1 2 2 2 2 3" xfId="2199"/>
    <cellStyle name="20% - Accent1 2 2 2 2 3 2" xfId="4495"/>
    <cellStyle name="20% - Accent1 2 2 2 2 3 2 2" xfId="27270"/>
    <cellStyle name="20% - Accent1 2 2 2 2 3 3" xfId="24974"/>
    <cellStyle name="20% - Accent1 2 2 2 2 30" xfId="21551"/>
    <cellStyle name="20% - Accent1 2 2 2 2 30 2" xfId="44326"/>
    <cellStyle name="20% - Accent1 2 2 2 2 31" xfId="22207"/>
    <cellStyle name="20% - Accent1 2 2 2 2 31 2" xfId="44982"/>
    <cellStyle name="20% - Accent1 2 2 2 2 32" xfId="22863"/>
    <cellStyle name="20% - Accent1 2 2 2 2 32 2" xfId="45638"/>
    <cellStyle name="20% - Accent1 2 2 2 2 33" xfId="23662"/>
    <cellStyle name="20% - Accent1 2 2 2 2 4" xfId="5151"/>
    <cellStyle name="20% - Accent1 2 2 2 2 4 2" xfId="27926"/>
    <cellStyle name="20% - Accent1 2 2 2 2 5" xfId="5807"/>
    <cellStyle name="20% - Accent1 2 2 2 2 5 2" xfId="28582"/>
    <cellStyle name="20% - Accent1 2 2 2 2 6" xfId="6463"/>
    <cellStyle name="20% - Accent1 2 2 2 2 6 2" xfId="29238"/>
    <cellStyle name="20% - Accent1 2 2 2 2 7" xfId="3183"/>
    <cellStyle name="20% - Accent1 2 2 2 2 7 2" xfId="25958"/>
    <cellStyle name="20% - Accent1 2 2 2 2 8" xfId="7119"/>
    <cellStyle name="20% - Accent1 2 2 2 2 8 2" xfId="29894"/>
    <cellStyle name="20% - Accent1 2 2 2 2 9" xfId="7775"/>
    <cellStyle name="20% - Accent1 2 2 2 2 9 2" xfId="30550"/>
    <cellStyle name="20% - Accent1 2 2 2 20" xfId="13351"/>
    <cellStyle name="20% - Accent1 2 2 2 20 2" xfId="36126"/>
    <cellStyle name="20% - Accent1 2 2 2 21" xfId="14007"/>
    <cellStyle name="20% - Accent1 2 2 2 21 2" xfId="36782"/>
    <cellStyle name="20% - Accent1 2 2 2 22" xfId="14663"/>
    <cellStyle name="20% - Accent1 2 2 2 22 2" xfId="37438"/>
    <cellStyle name="20% - Accent1 2 2 2 23" xfId="15319"/>
    <cellStyle name="20% - Accent1 2 2 2 23 2" xfId="38094"/>
    <cellStyle name="20% - Accent1 2 2 2 24" xfId="15975"/>
    <cellStyle name="20% - Accent1 2 2 2 24 2" xfId="38750"/>
    <cellStyle name="20% - Accent1 2 2 2 25" xfId="16631"/>
    <cellStyle name="20% - Accent1 2 2 2 25 2" xfId="39406"/>
    <cellStyle name="20% - Accent1 2 2 2 26" xfId="17287"/>
    <cellStyle name="20% - Accent1 2 2 2 26 2" xfId="40062"/>
    <cellStyle name="20% - Accent1 2 2 2 27" xfId="17943"/>
    <cellStyle name="20% - Accent1 2 2 2 27 2" xfId="40718"/>
    <cellStyle name="20% - Accent1 2 2 2 28" xfId="18599"/>
    <cellStyle name="20% - Accent1 2 2 2 28 2" xfId="41374"/>
    <cellStyle name="20% - Accent1 2 2 2 29" xfId="19255"/>
    <cellStyle name="20% - Accent1 2 2 2 29 2" xfId="42030"/>
    <cellStyle name="20% - Accent1 2 2 2 3" xfId="1215"/>
    <cellStyle name="20% - Accent1 2 2 2 3 2" xfId="2855"/>
    <cellStyle name="20% - Accent1 2 2 2 3 2 2" xfId="25630"/>
    <cellStyle name="20% - Accent1 2 2 2 3 3" xfId="23990"/>
    <cellStyle name="20% - Accent1 2 2 2 30" xfId="19911"/>
    <cellStyle name="20% - Accent1 2 2 2 30 2" xfId="42686"/>
    <cellStyle name="20% - Accent1 2 2 2 31" xfId="20567"/>
    <cellStyle name="20% - Accent1 2 2 2 31 2" xfId="43342"/>
    <cellStyle name="20% - Accent1 2 2 2 32" xfId="21223"/>
    <cellStyle name="20% - Accent1 2 2 2 32 2" xfId="43998"/>
    <cellStyle name="20% - Accent1 2 2 2 33" xfId="21879"/>
    <cellStyle name="20% - Accent1 2 2 2 33 2" xfId="44654"/>
    <cellStyle name="20% - Accent1 2 2 2 34" xfId="22535"/>
    <cellStyle name="20% - Accent1 2 2 2 34 2" xfId="45310"/>
    <cellStyle name="20% - Accent1 2 2 2 35" xfId="23334"/>
    <cellStyle name="20% - Accent1 2 2 2 4" xfId="1871"/>
    <cellStyle name="20% - Accent1 2 2 2 4 2" xfId="3511"/>
    <cellStyle name="20% - Accent1 2 2 2 4 2 2" xfId="26286"/>
    <cellStyle name="20% - Accent1 2 2 2 4 3" xfId="24646"/>
    <cellStyle name="20% - Accent1 2 2 2 5" xfId="4167"/>
    <cellStyle name="20% - Accent1 2 2 2 5 2" xfId="26942"/>
    <cellStyle name="20% - Accent1 2 2 2 6" xfId="4823"/>
    <cellStyle name="20% - Accent1 2 2 2 6 2" xfId="27598"/>
    <cellStyle name="20% - Accent1 2 2 2 7" xfId="5479"/>
    <cellStyle name="20% - Accent1 2 2 2 7 2" xfId="28254"/>
    <cellStyle name="20% - Accent1 2 2 2 8" xfId="6135"/>
    <cellStyle name="20% - Accent1 2 2 2 8 2" xfId="28910"/>
    <cellStyle name="20% - Accent1 2 2 2 9" xfId="2527"/>
    <cellStyle name="20% - Accent1 2 2 2 9 2" xfId="25302"/>
    <cellStyle name="20% - Accent1 2 2 20" xfId="12510"/>
    <cellStyle name="20% - Accent1 2 2 20 2" xfId="35285"/>
    <cellStyle name="20% - Accent1 2 2 21" xfId="13166"/>
    <cellStyle name="20% - Accent1 2 2 21 2" xfId="35941"/>
    <cellStyle name="20% - Accent1 2 2 22" xfId="13822"/>
    <cellStyle name="20% - Accent1 2 2 22 2" xfId="36597"/>
    <cellStyle name="20% - Accent1 2 2 23" xfId="14478"/>
    <cellStyle name="20% - Accent1 2 2 23 2" xfId="37253"/>
    <cellStyle name="20% - Accent1 2 2 24" xfId="15134"/>
    <cellStyle name="20% - Accent1 2 2 24 2" xfId="37909"/>
    <cellStyle name="20% - Accent1 2 2 25" xfId="15790"/>
    <cellStyle name="20% - Accent1 2 2 25 2" xfId="38565"/>
    <cellStyle name="20% - Accent1 2 2 26" xfId="16446"/>
    <cellStyle name="20% - Accent1 2 2 26 2" xfId="39221"/>
    <cellStyle name="20% - Accent1 2 2 27" xfId="17102"/>
    <cellStyle name="20% - Accent1 2 2 27 2" xfId="39877"/>
    <cellStyle name="20% - Accent1 2 2 28" xfId="17758"/>
    <cellStyle name="20% - Accent1 2 2 28 2" xfId="40533"/>
    <cellStyle name="20% - Accent1 2 2 29" xfId="18414"/>
    <cellStyle name="20% - Accent1 2 2 29 2" xfId="41189"/>
    <cellStyle name="20% - Accent1 2 2 3" xfId="702"/>
    <cellStyle name="20% - Accent1 2 2 3 10" xfId="8246"/>
    <cellStyle name="20% - Accent1 2 2 3 10 2" xfId="31021"/>
    <cellStyle name="20% - Accent1 2 2 3 11" xfId="8902"/>
    <cellStyle name="20% - Accent1 2 2 3 11 2" xfId="31677"/>
    <cellStyle name="20% - Accent1 2 2 3 12" xfId="9558"/>
    <cellStyle name="20% - Accent1 2 2 3 12 2" xfId="32333"/>
    <cellStyle name="20% - Accent1 2 2 3 13" xfId="10214"/>
    <cellStyle name="20% - Accent1 2 2 3 13 2" xfId="32989"/>
    <cellStyle name="20% - Accent1 2 2 3 14" xfId="10870"/>
    <cellStyle name="20% - Accent1 2 2 3 14 2" xfId="33645"/>
    <cellStyle name="20% - Accent1 2 2 3 15" xfId="11526"/>
    <cellStyle name="20% - Accent1 2 2 3 15 2" xfId="34301"/>
    <cellStyle name="20% - Accent1 2 2 3 16" xfId="12182"/>
    <cellStyle name="20% - Accent1 2 2 3 16 2" xfId="34957"/>
    <cellStyle name="20% - Accent1 2 2 3 17" xfId="12838"/>
    <cellStyle name="20% - Accent1 2 2 3 17 2" xfId="35613"/>
    <cellStyle name="20% - Accent1 2 2 3 18" xfId="13494"/>
    <cellStyle name="20% - Accent1 2 2 3 18 2" xfId="36269"/>
    <cellStyle name="20% - Accent1 2 2 3 19" xfId="14150"/>
    <cellStyle name="20% - Accent1 2 2 3 19 2" xfId="36925"/>
    <cellStyle name="20% - Accent1 2 2 3 2" xfId="1358"/>
    <cellStyle name="20% - Accent1 2 2 3 2 2" xfId="3654"/>
    <cellStyle name="20% - Accent1 2 2 3 2 2 2" xfId="26429"/>
    <cellStyle name="20% - Accent1 2 2 3 2 3" xfId="24133"/>
    <cellStyle name="20% - Accent1 2 2 3 20" xfId="14806"/>
    <cellStyle name="20% - Accent1 2 2 3 20 2" xfId="37581"/>
    <cellStyle name="20% - Accent1 2 2 3 21" xfId="15462"/>
    <cellStyle name="20% - Accent1 2 2 3 21 2" xfId="38237"/>
    <cellStyle name="20% - Accent1 2 2 3 22" xfId="16118"/>
    <cellStyle name="20% - Accent1 2 2 3 22 2" xfId="38893"/>
    <cellStyle name="20% - Accent1 2 2 3 23" xfId="16774"/>
    <cellStyle name="20% - Accent1 2 2 3 23 2" xfId="39549"/>
    <cellStyle name="20% - Accent1 2 2 3 24" xfId="17430"/>
    <cellStyle name="20% - Accent1 2 2 3 24 2" xfId="40205"/>
    <cellStyle name="20% - Accent1 2 2 3 25" xfId="18086"/>
    <cellStyle name="20% - Accent1 2 2 3 25 2" xfId="40861"/>
    <cellStyle name="20% - Accent1 2 2 3 26" xfId="18742"/>
    <cellStyle name="20% - Accent1 2 2 3 26 2" xfId="41517"/>
    <cellStyle name="20% - Accent1 2 2 3 27" xfId="19398"/>
    <cellStyle name="20% - Accent1 2 2 3 27 2" xfId="42173"/>
    <cellStyle name="20% - Accent1 2 2 3 28" xfId="20054"/>
    <cellStyle name="20% - Accent1 2 2 3 28 2" xfId="42829"/>
    <cellStyle name="20% - Accent1 2 2 3 29" xfId="20710"/>
    <cellStyle name="20% - Accent1 2 2 3 29 2" xfId="43485"/>
    <cellStyle name="20% - Accent1 2 2 3 3" xfId="2014"/>
    <cellStyle name="20% - Accent1 2 2 3 3 2" xfId="4310"/>
    <cellStyle name="20% - Accent1 2 2 3 3 2 2" xfId="27085"/>
    <cellStyle name="20% - Accent1 2 2 3 3 3" xfId="24789"/>
    <cellStyle name="20% - Accent1 2 2 3 30" xfId="21366"/>
    <cellStyle name="20% - Accent1 2 2 3 30 2" xfId="44141"/>
    <cellStyle name="20% - Accent1 2 2 3 31" xfId="22022"/>
    <cellStyle name="20% - Accent1 2 2 3 31 2" xfId="44797"/>
    <cellStyle name="20% - Accent1 2 2 3 32" xfId="22678"/>
    <cellStyle name="20% - Accent1 2 2 3 32 2" xfId="45453"/>
    <cellStyle name="20% - Accent1 2 2 3 33" xfId="23477"/>
    <cellStyle name="20% - Accent1 2 2 3 4" xfId="4966"/>
    <cellStyle name="20% - Accent1 2 2 3 4 2" xfId="27741"/>
    <cellStyle name="20% - Accent1 2 2 3 5" xfId="5622"/>
    <cellStyle name="20% - Accent1 2 2 3 5 2" xfId="28397"/>
    <cellStyle name="20% - Accent1 2 2 3 6" xfId="6278"/>
    <cellStyle name="20% - Accent1 2 2 3 6 2" xfId="29053"/>
    <cellStyle name="20% - Accent1 2 2 3 7" xfId="2998"/>
    <cellStyle name="20% - Accent1 2 2 3 7 2" xfId="25773"/>
    <cellStyle name="20% - Accent1 2 2 3 8" xfId="6934"/>
    <cellStyle name="20% - Accent1 2 2 3 8 2" xfId="29709"/>
    <cellStyle name="20% - Accent1 2 2 3 9" xfId="7590"/>
    <cellStyle name="20% - Accent1 2 2 3 9 2" xfId="30365"/>
    <cellStyle name="20% - Accent1 2 2 30" xfId="19070"/>
    <cellStyle name="20% - Accent1 2 2 30 2" xfId="41845"/>
    <cellStyle name="20% - Accent1 2 2 31" xfId="19726"/>
    <cellStyle name="20% - Accent1 2 2 31 2" xfId="42501"/>
    <cellStyle name="20% - Accent1 2 2 32" xfId="20382"/>
    <cellStyle name="20% - Accent1 2 2 32 2" xfId="43157"/>
    <cellStyle name="20% - Accent1 2 2 33" xfId="21038"/>
    <cellStyle name="20% - Accent1 2 2 33 2" xfId="43813"/>
    <cellStyle name="20% - Accent1 2 2 34" xfId="21694"/>
    <cellStyle name="20% - Accent1 2 2 34 2" xfId="44469"/>
    <cellStyle name="20% - Accent1 2 2 35" xfId="22350"/>
    <cellStyle name="20% - Accent1 2 2 35 2" xfId="45125"/>
    <cellStyle name="20% - Accent1 2 2 36" xfId="23006"/>
    <cellStyle name="20% - Accent1 2 2 4" xfId="375"/>
    <cellStyle name="20% - Accent1 2 2 4 2" xfId="2670"/>
    <cellStyle name="20% - Accent1 2 2 4 2 2" xfId="25445"/>
    <cellStyle name="20% - Accent1 2 2 4 3" xfId="23149"/>
    <cellStyle name="20% - Accent1 2 2 5" xfId="1030"/>
    <cellStyle name="20% - Accent1 2 2 5 2" xfId="3326"/>
    <cellStyle name="20% - Accent1 2 2 5 2 2" xfId="26101"/>
    <cellStyle name="20% - Accent1 2 2 5 3" xfId="23805"/>
    <cellStyle name="20% - Accent1 2 2 6" xfId="1686"/>
    <cellStyle name="20% - Accent1 2 2 6 2" xfId="3982"/>
    <cellStyle name="20% - Accent1 2 2 6 2 2" xfId="26757"/>
    <cellStyle name="20% - Accent1 2 2 6 3" xfId="24461"/>
    <cellStyle name="20% - Accent1 2 2 7" xfId="4638"/>
    <cellStyle name="20% - Accent1 2 2 7 2" xfId="27413"/>
    <cellStyle name="20% - Accent1 2 2 8" xfId="5294"/>
    <cellStyle name="20% - Accent1 2 2 8 2" xfId="28069"/>
    <cellStyle name="20% - Accent1 2 2 9" xfId="5950"/>
    <cellStyle name="20% - Accent1 2 2 9 2" xfId="28725"/>
    <cellStyle name="20% - Accent1 2 20" xfId="11768"/>
    <cellStyle name="20% - Accent1 2 20 2" xfId="34543"/>
    <cellStyle name="20% - Accent1 2 21" xfId="12424"/>
    <cellStyle name="20% - Accent1 2 21 2" xfId="35199"/>
    <cellStyle name="20% - Accent1 2 22" xfId="13080"/>
    <cellStyle name="20% - Accent1 2 22 2" xfId="35855"/>
    <cellStyle name="20% - Accent1 2 23" xfId="13736"/>
    <cellStyle name="20% - Accent1 2 23 2" xfId="36511"/>
    <cellStyle name="20% - Accent1 2 24" xfId="14392"/>
    <cellStyle name="20% - Accent1 2 24 2" xfId="37167"/>
    <cellStyle name="20% - Accent1 2 25" xfId="15048"/>
    <cellStyle name="20% - Accent1 2 25 2" xfId="37823"/>
    <cellStyle name="20% - Accent1 2 26" xfId="15704"/>
    <cellStyle name="20% - Accent1 2 26 2" xfId="38479"/>
    <cellStyle name="20% - Accent1 2 27" xfId="16360"/>
    <cellStyle name="20% - Accent1 2 27 2" xfId="39135"/>
    <cellStyle name="20% - Accent1 2 28" xfId="17016"/>
    <cellStyle name="20% - Accent1 2 28 2" xfId="39791"/>
    <cellStyle name="20% - Accent1 2 29" xfId="17672"/>
    <cellStyle name="20% - Accent1 2 29 2" xfId="40447"/>
    <cellStyle name="20% - Accent1 2 3" xfId="474"/>
    <cellStyle name="20% - Accent1 2 3 10" xfId="6705"/>
    <cellStyle name="20% - Accent1 2 3 10 2" xfId="29480"/>
    <cellStyle name="20% - Accent1 2 3 11" xfId="7361"/>
    <cellStyle name="20% - Accent1 2 3 11 2" xfId="30136"/>
    <cellStyle name="20% - Accent1 2 3 12" xfId="8017"/>
    <cellStyle name="20% - Accent1 2 3 12 2" xfId="30792"/>
    <cellStyle name="20% - Accent1 2 3 13" xfId="8673"/>
    <cellStyle name="20% - Accent1 2 3 13 2" xfId="31448"/>
    <cellStyle name="20% - Accent1 2 3 14" xfId="9329"/>
    <cellStyle name="20% - Accent1 2 3 14 2" xfId="32104"/>
    <cellStyle name="20% - Accent1 2 3 15" xfId="9985"/>
    <cellStyle name="20% - Accent1 2 3 15 2" xfId="32760"/>
    <cellStyle name="20% - Accent1 2 3 16" xfId="10641"/>
    <cellStyle name="20% - Accent1 2 3 16 2" xfId="33416"/>
    <cellStyle name="20% - Accent1 2 3 17" xfId="11297"/>
    <cellStyle name="20% - Accent1 2 3 17 2" xfId="34072"/>
    <cellStyle name="20% - Accent1 2 3 18" xfId="11953"/>
    <cellStyle name="20% - Accent1 2 3 18 2" xfId="34728"/>
    <cellStyle name="20% - Accent1 2 3 19" xfId="12609"/>
    <cellStyle name="20% - Accent1 2 3 19 2" xfId="35384"/>
    <cellStyle name="20% - Accent1 2 3 2" xfId="801"/>
    <cellStyle name="20% - Accent1 2 3 2 10" xfId="8345"/>
    <cellStyle name="20% - Accent1 2 3 2 10 2" xfId="31120"/>
    <cellStyle name="20% - Accent1 2 3 2 11" xfId="9001"/>
    <cellStyle name="20% - Accent1 2 3 2 11 2" xfId="31776"/>
    <cellStyle name="20% - Accent1 2 3 2 12" xfId="9657"/>
    <cellStyle name="20% - Accent1 2 3 2 12 2" xfId="32432"/>
    <cellStyle name="20% - Accent1 2 3 2 13" xfId="10313"/>
    <cellStyle name="20% - Accent1 2 3 2 13 2" xfId="33088"/>
    <cellStyle name="20% - Accent1 2 3 2 14" xfId="10969"/>
    <cellStyle name="20% - Accent1 2 3 2 14 2" xfId="33744"/>
    <cellStyle name="20% - Accent1 2 3 2 15" xfId="11625"/>
    <cellStyle name="20% - Accent1 2 3 2 15 2" xfId="34400"/>
    <cellStyle name="20% - Accent1 2 3 2 16" xfId="12281"/>
    <cellStyle name="20% - Accent1 2 3 2 16 2" xfId="35056"/>
    <cellStyle name="20% - Accent1 2 3 2 17" xfId="12937"/>
    <cellStyle name="20% - Accent1 2 3 2 17 2" xfId="35712"/>
    <cellStyle name="20% - Accent1 2 3 2 18" xfId="13593"/>
    <cellStyle name="20% - Accent1 2 3 2 18 2" xfId="36368"/>
    <cellStyle name="20% - Accent1 2 3 2 19" xfId="14249"/>
    <cellStyle name="20% - Accent1 2 3 2 19 2" xfId="37024"/>
    <cellStyle name="20% - Accent1 2 3 2 2" xfId="1457"/>
    <cellStyle name="20% - Accent1 2 3 2 2 2" xfId="3753"/>
    <cellStyle name="20% - Accent1 2 3 2 2 2 2" xfId="26528"/>
    <cellStyle name="20% - Accent1 2 3 2 2 3" xfId="24232"/>
    <cellStyle name="20% - Accent1 2 3 2 20" xfId="14905"/>
    <cellStyle name="20% - Accent1 2 3 2 20 2" xfId="37680"/>
    <cellStyle name="20% - Accent1 2 3 2 21" xfId="15561"/>
    <cellStyle name="20% - Accent1 2 3 2 21 2" xfId="38336"/>
    <cellStyle name="20% - Accent1 2 3 2 22" xfId="16217"/>
    <cellStyle name="20% - Accent1 2 3 2 22 2" xfId="38992"/>
    <cellStyle name="20% - Accent1 2 3 2 23" xfId="16873"/>
    <cellStyle name="20% - Accent1 2 3 2 23 2" xfId="39648"/>
    <cellStyle name="20% - Accent1 2 3 2 24" xfId="17529"/>
    <cellStyle name="20% - Accent1 2 3 2 24 2" xfId="40304"/>
    <cellStyle name="20% - Accent1 2 3 2 25" xfId="18185"/>
    <cellStyle name="20% - Accent1 2 3 2 25 2" xfId="40960"/>
    <cellStyle name="20% - Accent1 2 3 2 26" xfId="18841"/>
    <cellStyle name="20% - Accent1 2 3 2 26 2" xfId="41616"/>
    <cellStyle name="20% - Accent1 2 3 2 27" xfId="19497"/>
    <cellStyle name="20% - Accent1 2 3 2 27 2" xfId="42272"/>
    <cellStyle name="20% - Accent1 2 3 2 28" xfId="20153"/>
    <cellStyle name="20% - Accent1 2 3 2 28 2" xfId="42928"/>
    <cellStyle name="20% - Accent1 2 3 2 29" xfId="20809"/>
    <cellStyle name="20% - Accent1 2 3 2 29 2" xfId="43584"/>
    <cellStyle name="20% - Accent1 2 3 2 3" xfId="2113"/>
    <cellStyle name="20% - Accent1 2 3 2 3 2" xfId="4409"/>
    <cellStyle name="20% - Accent1 2 3 2 3 2 2" xfId="27184"/>
    <cellStyle name="20% - Accent1 2 3 2 3 3" xfId="24888"/>
    <cellStyle name="20% - Accent1 2 3 2 30" xfId="21465"/>
    <cellStyle name="20% - Accent1 2 3 2 30 2" xfId="44240"/>
    <cellStyle name="20% - Accent1 2 3 2 31" xfId="22121"/>
    <cellStyle name="20% - Accent1 2 3 2 31 2" xfId="44896"/>
    <cellStyle name="20% - Accent1 2 3 2 32" xfId="22777"/>
    <cellStyle name="20% - Accent1 2 3 2 32 2" xfId="45552"/>
    <cellStyle name="20% - Accent1 2 3 2 33" xfId="23576"/>
    <cellStyle name="20% - Accent1 2 3 2 4" xfId="5065"/>
    <cellStyle name="20% - Accent1 2 3 2 4 2" xfId="27840"/>
    <cellStyle name="20% - Accent1 2 3 2 5" xfId="5721"/>
    <cellStyle name="20% - Accent1 2 3 2 5 2" xfId="28496"/>
    <cellStyle name="20% - Accent1 2 3 2 6" xfId="6377"/>
    <cellStyle name="20% - Accent1 2 3 2 6 2" xfId="29152"/>
    <cellStyle name="20% - Accent1 2 3 2 7" xfId="3097"/>
    <cellStyle name="20% - Accent1 2 3 2 7 2" xfId="25872"/>
    <cellStyle name="20% - Accent1 2 3 2 8" xfId="7033"/>
    <cellStyle name="20% - Accent1 2 3 2 8 2" xfId="29808"/>
    <cellStyle name="20% - Accent1 2 3 2 9" xfId="7689"/>
    <cellStyle name="20% - Accent1 2 3 2 9 2" xfId="30464"/>
    <cellStyle name="20% - Accent1 2 3 20" xfId="13265"/>
    <cellStyle name="20% - Accent1 2 3 20 2" xfId="36040"/>
    <cellStyle name="20% - Accent1 2 3 21" xfId="13921"/>
    <cellStyle name="20% - Accent1 2 3 21 2" xfId="36696"/>
    <cellStyle name="20% - Accent1 2 3 22" xfId="14577"/>
    <cellStyle name="20% - Accent1 2 3 22 2" xfId="37352"/>
    <cellStyle name="20% - Accent1 2 3 23" xfId="15233"/>
    <cellStyle name="20% - Accent1 2 3 23 2" xfId="38008"/>
    <cellStyle name="20% - Accent1 2 3 24" xfId="15889"/>
    <cellStyle name="20% - Accent1 2 3 24 2" xfId="38664"/>
    <cellStyle name="20% - Accent1 2 3 25" xfId="16545"/>
    <cellStyle name="20% - Accent1 2 3 25 2" xfId="39320"/>
    <cellStyle name="20% - Accent1 2 3 26" xfId="17201"/>
    <cellStyle name="20% - Accent1 2 3 26 2" xfId="39976"/>
    <cellStyle name="20% - Accent1 2 3 27" xfId="17857"/>
    <cellStyle name="20% - Accent1 2 3 27 2" xfId="40632"/>
    <cellStyle name="20% - Accent1 2 3 28" xfId="18513"/>
    <cellStyle name="20% - Accent1 2 3 28 2" xfId="41288"/>
    <cellStyle name="20% - Accent1 2 3 29" xfId="19169"/>
    <cellStyle name="20% - Accent1 2 3 29 2" xfId="41944"/>
    <cellStyle name="20% - Accent1 2 3 3" xfId="1129"/>
    <cellStyle name="20% - Accent1 2 3 3 2" xfId="2769"/>
    <cellStyle name="20% - Accent1 2 3 3 2 2" xfId="25544"/>
    <cellStyle name="20% - Accent1 2 3 3 3" xfId="23904"/>
    <cellStyle name="20% - Accent1 2 3 30" xfId="19825"/>
    <cellStyle name="20% - Accent1 2 3 30 2" xfId="42600"/>
    <cellStyle name="20% - Accent1 2 3 31" xfId="20481"/>
    <cellStyle name="20% - Accent1 2 3 31 2" xfId="43256"/>
    <cellStyle name="20% - Accent1 2 3 32" xfId="21137"/>
    <cellStyle name="20% - Accent1 2 3 32 2" xfId="43912"/>
    <cellStyle name="20% - Accent1 2 3 33" xfId="21793"/>
    <cellStyle name="20% - Accent1 2 3 33 2" xfId="44568"/>
    <cellStyle name="20% - Accent1 2 3 34" xfId="22449"/>
    <cellStyle name="20% - Accent1 2 3 34 2" xfId="45224"/>
    <cellStyle name="20% - Accent1 2 3 35" xfId="23248"/>
    <cellStyle name="20% - Accent1 2 3 4" xfId="1785"/>
    <cellStyle name="20% - Accent1 2 3 4 2" xfId="3425"/>
    <cellStyle name="20% - Accent1 2 3 4 2 2" xfId="26200"/>
    <cellStyle name="20% - Accent1 2 3 4 3" xfId="24560"/>
    <cellStyle name="20% - Accent1 2 3 5" xfId="4081"/>
    <cellStyle name="20% - Accent1 2 3 5 2" xfId="26856"/>
    <cellStyle name="20% - Accent1 2 3 6" xfId="4737"/>
    <cellStyle name="20% - Accent1 2 3 6 2" xfId="27512"/>
    <cellStyle name="20% - Accent1 2 3 7" xfId="5393"/>
    <cellStyle name="20% - Accent1 2 3 7 2" xfId="28168"/>
    <cellStyle name="20% - Accent1 2 3 8" xfId="6049"/>
    <cellStyle name="20% - Accent1 2 3 8 2" xfId="28824"/>
    <cellStyle name="20% - Accent1 2 3 9" xfId="2441"/>
    <cellStyle name="20% - Accent1 2 3 9 2" xfId="25216"/>
    <cellStyle name="20% - Accent1 2 30" xfId="18328"/>
    <cellStyle name="20% - Accent1 2 30 2" xfId="41103"/>
    <cellStyle name="20% - Accent1 2 31" xfId="18984"/>
    <cellStyle name="20% - Accent1 2 31 2" xfId="41759"/>
    <cellStyle name="20% - Accent1 2 32" xfId="19640"/>
    <cellStyle name="20% - Accent1 2 32 2" xfId="42415"/>
    <cellStyle name="20% - Accent1 2 33" xfId="20296"/>
    <cellStyle name="20% - Accent1 2 33 2" xfId="43071"/>
    <cellStyle name="20% - Accent1 2 34" xfId="20952"/>
    <cellStyle name="20% - Accent1 2 34 2" xfId="43727"/>
    <cellStyle name="20% - Accent1 2 35" xfId="21608"/>
    <cellStyle name="20% - Accent1 2 35 2" xfId="44383"/>
    <cellStyle name="20% - Accent1 2 36" xfId="22264"/>
    <cellStyle name="20% - Accent1 2 36 2" xfId="45039"/>
    <cellStyle name="20% - Accent1 2 37" xfId="203"/>
    <cellStyle name="20% - Accent1 2 38" xfId="22920"/>
    <cellStyle name="20% - Accent1 2 4" xfId="616"/>
    <cellStyle name="20% - Accent1 2 4 10" xfId="8160"/>
    <cellStyle name="20% - Accent1 2 4 10 2" xfId="30935"/>
    <cellStyle name="20% - Accent1 2 4 11" xfId="8816"/>
    <cellStyle name="20% - Accent1 2 4 11 2" xfId="31591"/>
    <cellStyle name="20% - Accent1 2 4 12" xfId="9472"/>
    <cellStyle name="20% - Accent1 2 4 12 2" xfId="32247"/>
    <cellStyle name="20% - Accent1 2 4 13" xfId="10128"/>
    <cellStyle name="20% - Accent1 2 4 13 2" xfId="32903"/>
    <cellStyle name="20% - Accent1 2 4 14" xfId="10784"/>
    <cellStyle name="20% - Accent1 2 4 14 2" xfId="33559"/>
    <cellStyle name="20% - Accent1 2 4 15" xfId="11440"/>
    <cellStyle name="20% - Accent1 2 4 15 2" xfId="34215"/>
    <cellStyle name="20% - Accent1 2 4 16" xfId="12096"/>
    <cellStyle name="20% - Accent1 2 4 16 2" xfId="34871"/>
    <cellStyle name="20% - Accent1 2 4 17" xfId="12752"/>
    <cellStyle name="20% - Accent1 2 4 17 2" xfId="35527"/>
    <cellStyle name="20% - Accent1 2 4 18" xfId="13408"/>
    <cellStyle name="20% - Accent1 2 4 18 2" xfId="36183"/>
    <cellStyle name="20% - Accent1 2 4 19" xfId="14064"/>
    <cellStyle name="20% - Accent1 2 4 19 2" xfId="36839"/>
    <cellStyle name="20% - Accent1 2 4 2" xfId="1272"/>
    <cellStyle name="20% - Accent1 2 4 2 2" xfId="3568"/>
    <cellStyle name="20% - Accent1 2 4 2 2 2" xfId="26343"/>
    <cellStyle name="20% - Accent1 2 4 2 3" xfId="24047"/>
    <cellStyle name="20% - Accent1 2 4 20" xfId="14720"/>
    <cellStyle name="20% - Accent1 2 4 20 2" xfId="37495"/>
    <cellStyle name="20% - Accent1 2 4 21" xfId="15376"/>
    <cellStyle name="20% - Accent1 2 4 21 2" xfId="38151"/>
    <cellStyle name="20% - Accent1 2 4 22" xfId="16032"/>
    <cellStyle name="20% - Accent1 2 4 22 2" xfId="38807"/>
    <cellStyle name="20% - Accent1 2 4 23" xfId="16688"/>
    <cellStyle name="20% - Accent1 2 4 23 2" xfId="39463"/>
    <cellStyle name="20% - Accent1 2 4 24" xfId="17344"/>
    <cellStyle name="20% - Accent1 2 4 24 2" xfId="40119"/>
    <cellStyle name="20% - Accent1 2 4 25" xfId="18000"/>
    <cellStyle name="20% - Accent1 2 4 25 2" xfId="40775"/>
    <cellStyle name="20% - Accent1 2 4 26" xfId="18656"/>
    <cellStyle name="20% - Accent1 2 4 26 2" xfId="41431"/>
    <cellStyle name="20% - Accent1 2 4 27" xfId="19312"/>
    <cellStyle name="20% - Accent1 2 4 27 2" xfId="42087"/>
    <cellStyle name="20% - Accent1 2 4 28" xfId="19968"/>
    <cellStyle name="20% - Accent1 2 4 28 2" xfId="42743"/>
    <cellStyle name="20% - Accent1 2 4 29" xfId="20624"/>
    <cellStyle name="20% - Accent1 2 4 29 2" xfId="43399"/>
    <cellStyle name="20% - Accent1 2 4 3" xfId="1928"/>
    <cellStyle name="20% - Accent1 2 4 3 2" xfId="4224"/>
    <cellStyle name="20% - Accent1 2 4 3 2 2" xfId="26999"/>
    <cellStyle name="20% - Accent1 2 4 3 3" xfId="24703"/>
    <cellStyle name="20% - Accent1 2 4 30" xfId="21280"/>
    <cellStyle name="20% - Accent1 2 4 30 2" xfId="44055"/>
    <cellStyle name="20% - Accent1 2 4 31" xfId="21936"/>
    <cellStyle name="20% - Accent1 2 4 31 2" xfId="44711"/>
    <cellStyle name="20% - Accent1 2 4 32" xfId="22592"/>
    <cellStyle name="20% - Accent1 2 4 32 2" xfId="45367"/>
    <cellStyle name="20% - Accent1 2 4 33" xfId="23391"/>
    <cellStyle name="20% - Accent1 2 4 4" xfId="4880"/>
    <cellStyle name="20% - Accent1 2 4 4 2" xfId="27655"/>
    <cellStyle name="20% - Accent1 2 4 5" xfId="5536"/>
    <cellStyle name="20% - Accent1 2 4 5 2" xfId="28311"/>
    <cellStyle name="20% - Accent1 2 4 6" xfId="6192"/>
    <cellStyle name="20% - Accent1 2 4 6 2" xfId="28967"/>
    <cellStyle name="20% - Accent1 2 4 7" xfId="2912"/>
    <cellStyle name="20% - Accent1 2 4 7 2" xfId="25687"/>
    <cellStyle name="20% - Accent1 2 4 8" xfId="6848"/>
    <cellStyle name="20% - Accent1 2 4 8 2" xfId="29623"/>
    <cellStyle name="20% - Accent1 2 4 9" xfId="7504"/>
    <cellStyle name="20% - Accent1 2 4 9 2" xfId="30279"/>
    <cellStyle name="20% - Accent1 2 5" xfId="289"/>
    <cellStyle name="20% - Accent1 2 5 2" xfId="2584"/>
    <cellStyle name="20% - Accent1 2 5 2 2" xfId="25359"/>
    <cellStyle name="20% - Accent1 2 5 3" xfId="23063"/>
    <cellStyle name="20% - Accent1 2 6" xfId="944"/>
    <cellStyle name="20% - Accent1 2 6 2" xfId="3240"/>
    <cellStyle name="20% - Accent1 2 6 2 2" xfId="26015"/>
    <cellStyle name="20% - Accent1 2 6 3" xfId="23719"/>
    <cellStyle name="20% - Accent1 2 7" xfId="1600"/>
    <cellStyle name="20% - Accent1 2 7 2" xfId="3896"/>
    <cellStyle name="20% - Accent1 2 7 2 2" xfId="26671"/>
    <cellStyle name="20% - Accent1 2 7 3" xfId="24375"/>
    <cellStyle name="20% - Accent1 2 8" xfId="4552"/>
    <cellStyle name="20% - Accent1 2 8 2" xfId="27327"/>
    <cellStyle name="20% - Accent1 2 9" xfId="5208"/>
    <cellStyle name="20% - Accent1 2 9 2" xfId="27983"/>
    <cellStyle name="20% - Accent1 20" xfId="7160"/>
    <cellStyle name="20% - Accent1 20 2" xfId="29935"/>
    <cellStyle name="20% - Accent1 21" xfId="7816"/>
    <cellStyle name="20% - Accent1 21 2" xfId="30591"/>
    <cellStyle name="20% - Accent1 22" xfId="8472"/>
    <cellStyle name="20% - Accent1 22 2" xfId="31247"/>
    <cellStyle name="20% - Accent1 23" xfId="9128"/>
    <cellStyle name="20% - Accent1 23 2" xfId="31903"/>
    <cellStyle name="20% - Accent1 24" xfId="9784"/>
    <cellStyle name="20% - Accent1 24 2" xfId="32559"/>
    <cellStyle name="20% - Accent1 25" xfId="10440"/>
    <cellStyle name="20% - Accent1 25 2" xfId="33215"/>
    <cellStyle name="20% - Accent1 26" xfId="11096"/>
    <cellStyle name="20% - Accent1 26 2" xfId="33871"/>
    <cellStyle name="20% - Accent1 27" xfId="11752"/>
    <cellStyle name="20% - Accent1 27 2" xfId="34527"/>
    <cellStyle name="20% - Accent1 28" xfId="12408"/>
    <cellStyle name="20% - Accent1 28 2" xfId="35183"/>
    <cellStyle name="20% - Accent1 29" xfId="13064"/>
    <cellStyle name="20% - Accent1 29 2" xfId="35839"/>
    <cellStyle name="20% - Accent1 3" xfId="52"/>
    <cellStyle name="20% - Accent1 3 10" xfId="5879"/>
    <cellStyle name="20% - Accent1 3 10 2" xfId="28654"/>
    <cellStyle name="20% - Accent1 3 11" xfId="2271"/>
    <cellStyle name="20% - Accent1 3 11 2" xfId="25046"/>
    <cellStyle name="20% - Accent1 3 12" xfId="6535"/>
    <cellStyle name="20% - Accent1 3 12 2" xfId="29310"/>
    <cellStyle name="20% - Accent1 3 13" xfId="7191"/>
    <cellStyle name="20% - Accent1 3 13 2" xfId="29966"/>
    <cellStyle name="20% - Accent1 3 14" xfId="7847"/>
    <cellStyle name="20% - Accent1 3 14 2" xfId="30622"/>
    <cellStyle name="20% - Accent1 3 15" xfId="8503"/>
    <cellStyle name="20% - Accent1 3 15 2" xfId="31278"/>
    <cellStyle name="20% - Accent1 3 16" xfId="9159"/>
    <cellStyle name="20% - Accent1 3 16 2" xfId="31934"/>
    <cellStyle name="20% - Accent1 3 17" xfId="9815"/>
    <cellStyle name="20% - Accent1 3 17 2" xfId="32590"/>
    <cellStyle name="20% - Accent1 3 18" xfId="10471"/>
    <cellStyle name="20% - Accent1 3 18 2" xfId="33246"/>
    <cellStyle name="20% - Accent1 3 19" xfId="11127"/>
    <cellStyle name="20% - Accent1 3 19 2" xfId="33902"/>
    <cellStyle name="20% - Accent1 3 2" xfId="130"/>
    <cellStyle name="20% - Accent1 3 2 10" xfId="2326"/>
    <cellStyle name="20% - Accent1 3 2 10 2" xfId="25101"/>
    <cellStyle name="20% - Accent1 3 2 11" xfId="6590"/>
    <cellStyle name="20% - Accent1 3 2 11 2" xfId="29365"/>
    <cellStyle name="20% - Accent1 3 2 12" xfId="7246"/>
    <cellStyle name="20% - Accent1 3 2 12 2" xfId="30021"/>
    <cellStyle name="20% - Accent1 3 2 13" xfId="7902"/>
    <cellStyle name="20% - Accent1 3 2 13 2" xfId="30677"/>
    <cellStyle name="20% - Accent1 3 2 14" xfId="8558"/>
    <cellStyle name="20% - Accent1 3 2 14 2" xfId="31333"/>
    <cellStyle name="20% - Accent1 3 2 15" xfId="9214"/>
    <cellStyle name="20% - Accent1 3 2 15 2" xfId="31989"/>
    <cellStyle name="20% - Accent1 3 2 16" xfId="9870"/>
    <cellStyle name="20% - Accent1 3 2 16 2" xfId="32645"/>
    <cellStyle name="20% - Accent1 3 2 17" xfId="10526"/>
    <cellStyle name="20% - Accent1 3 2 17 2" xfId="33301"/>
    <cellStyle name="20% - Accent1 3 2 18" xfId="11182"/>
    <cellStyle name="20% - Accent1 3 2 18 2" xfId="33957"/>
    <cellStyle name="20% - Accent1 3 2 19" xfId="11838"/>
    <cellStyle name="20% - Accent1 3 2 19 2" xfId="34613"/>
    <cellStyle name="20% - Accent1 3 2 2" xfId="542"/>
    <cellStyle name="20% - Accent1 3 2 2 10" xfId="6775"/>
    <cellStyle name="20% - Accent1 3 2 2 10 2" xfId="29550"/>
    <cellStyle name="20% - Accent1 3 2 2 11" xfId="7431"/>
    <cellStyle name="20% - Accent1 3 2 2 11 2" xfId="30206"/>
    <cellStyle name="20% - Accent1 3 2 2 12" xfId="8087"/>
    <cellStyle name="20% - Accent1 3 2 2 12 2" xfId="30862"/>
    <cellStyle name="20% - Accent1 3 2 2 13" xfId="8743"/>
    <cellStyle name="20% - Accent1 3 2 2 13 2" xfId="31518"/>
    <cellStyle name="20% - Accent1 3 2 2 14" xfId="9399"/>
    <cellStyle name="20% - Accent1 3 2 2 14 2" xfId="32174"/>
    <cellStyle name="20% - Accent1 3 2 2 15" xfId="10055"/>
    <cellStyle name="20% - Accent1 3 2 2 15 2" xfId="32830"/>
    <cellStyle name="20% - Accent1 3 2 2 16" xfId="10711"/>
    <cellStyle name="20% - Accent1 3 2 2 16 2" xfId="33486"/>
    <cellStyle name="20% - Accent1 3 2 2 17" xfId="11367"/>
    <cellStyle name="20% - Accent1 3 2 2 17 2" xfId="34142"/>
    <cellStyle name="20% - Accent1 3 2 2 18" xfId="12023"/>
    <cellStyle name="20% - Accent1 3 2 2 18 2" xfId="34798"/>
    <cellStyle name="20% - Accent1 3 2 2 19" xfId="12679"/>
    <cellStyle name="20% - Accent1 3 2 2 19 2" xfId="35454"/>
    <cellStyle name="20% - Accent1 3 2 2 2" xfId="871"/>
    <cellStyle name="20% - Accent1 3 2 2 2 10" xfId="8415"/>
    <cellStyle name="20% - Accent1 3 2 2 2 10 2" xfId="31190"/>
    <cellStyle name="20% - Accent1 3 2 2 2 11" xfId="9071"/>
    <cellStyle name="20% - Accent1 3 2 2 2 11 2" xfId="31846"/>
    <cellStyle name="20% - Accent1 3 2 2 2 12" xfId="9727"/>
    <cellStyle name="20% - Accent1 3 2 2 2 12 2" xfId="32502"/>
    <cellStyle name="20% - Accent1 3 2 2 2 13" xfId="10383"/>
    <cellStyle name="20% - Accent1 3 2 2 2 13 2" xfId="33158"/>
    <cellStyle name="20% - Accent1 3 2 2 2 14" xfId="11039"/>
    <cellStyle name="20% - Accent1 3 2 2 2 14 2" xfId="33814"/>
    <cellStyle name="20% - Accent1 3 2 2 2 15" xfId="11695"/>
    <cellStyle name="20% - Accent1 3 2 2 2 15 2" xfId="34470"/>
    <cellStyle name="20% - Accent1 3 2 2 2 16" xfId="12351"/>
    <cellStyle name="20% - Accent1 3 2 2 2 16 2" xfId="35126"/>
    <cellStyle name="20% - Accent1 3 2 2 2 17" xfId="13007"/>
    <cellStyle name="20% - Accent1 3 2 2 2 17 2" xfId="35782"/>
    <cellStyle name="20% - Accent1 3 2 2 2 18" xfId="13663"/>
    <cellStyle name="20% - Accent1 3 2 2 2 18 2" xfId="36438"/>
    <cellStyle name="20% - Accent1 3 2 2 2 19" xfId="14319"/>
    <cellStyle name="20% - Accent1 3 2 2 2 19 2" xfId="37094"/>
    <cellStyle name="20% - Accent1 3 2 2 2 2" xfId="1527"/>
    <cellStyle name="20% - Accent1 3 2 2 2 2 2" xfId="3823"/>
    <cellStyle name="20% - Accent1 3 2 2 2 2 2 2" xfId="26598"/>
    <cellStyle name="20% - Accent1 3 2 2 2 2 3" xfId="24302"/>
    <cellStyle name="20% - Accent1 3 2 2 2 20" xfId="14975"/>
    <cellStyle name="20% - Accent1 3 2 2 2 20 2" xfId="37750"/>
    <cellStyle name="20% - Accent1 3 2 2 2 21" xfId="15631"/>
    <cellStyle name="20% - Accent1 3 2 2 2 21 2" xfId="38406"/>
    <cellStyle name="20% - Accent1 3 2 2 2 22" xfId="16287"/>
    <cellStyle name="20% - Accent1 3 2 2 2 22 2" xfId="39062"/>
    <cellStyle name="20% - Accent1 3 2 2 2 23" xfId="16943"/>
    <cellStyle name="20% - Accent1 3 2 2 2 23 2" xfId="39718"/>
    <cellStyle name="20% - Accent1 3 2 2 2 24" xfId="17599"/>
    <cellStyle name="20% - Accent1 3 2 2 2 24 2" xfId="40374"/>
    <cellStyle name="20% - Accent1 3 2 2 2 25" xfId="18255"/>
    <cellStyle name="20% - Accent1 3 2 2 2 25 2" xfId="41030"/>
    <cellStyle name="20% - Accent1 3 2 2 2 26" xfId="18911"/>
    <cellStyle name="20% - Accent1 3 2 2 2 26 2" xfId="41686"/>
    <cellStyle name="20% - Accent1 3 2 2 2 27" xfId="19567"/>
    <cellStyle name="20% - Accent1 3 2 2 2 27 2" xfId="42342"/>
    <cellStyle name="20% - Accent1 3 2 2 2 28" xfId="20223"/>
    <cellStyle name="20% - Accent1 3 2 2 2 28 2" xfId="42998"/>
    <cellStyle name="20% - Accent1 3 2 2 2 29" xfId="20879"/>
    <cellStyle name="20% - Accent1 3 2 2 2 29 2" xfId="43654"/>
    <cellStyle name="20% - Accent1 3 2 2 2 3" xfId="2183"/>
    <cellStyle name="20% - Accent1 3 2 2 2 3 2" xfId="4479"/>
    <cellStyle name="20% - Accent1 3 2 2 2 3 2 2" xfId="27254"/>
    <cellStyle name="20% - Accent1 3 2 2 2 3 3" xfId="24958"/>
    <cellStyle name="20% - Accent1 3 2 2 2 30" xfId="21535"/>
    <cellStyle name="20% - Accent1 3 2 2 2 30 2" xfId="44310"/>
    <cellStyle name="20% - Accent1 3 2 2 2 31" xfId="22191"/>
    <cellStyle name="20% - Accent1 3 2 2 2 31 2" xfId="44966"/>
    <cellStyle name="20% - Accent1 3 2 2 2 32" xfId="22847"/>
    <cellStyle name="20% - Accent1 3 2 2 2 32 2" xfId="45622"/>
    <cellStyle name="20% - Accent1 3 2 2 2 33" xfId="23646"/>
    <cellStyle name="20% - Accent1 3 2 2 2 4" xfId="5135"/>
    <cellStyle name="20% - Accent1 3 2 2 2 4 2" xfId="27910"/>
    <cellStyle name="20% - Accent1 3 2 2 2 5" xfId="5791"/>
    <cellStyle name="20% - Accent1 3 2 2 2 5 2" xfId="28566"/>
    <cellStyle name="20% - Accent1 3 2 2 2 6" xfId="6447"/>
    <cellStyle name="20% - Accent1 3 2 2 2 6 2" xfId="29222"/>
    <cellStyle name="20% - Accent1 3 2 2 2 7" xfId="3167"/>
    <cellStyle name="20% - Accent1 3 2 2 2 7 2" xfId="25942"/>
    <cellStyle name="20% - Accent1 3 2 2 2 8" xfId="7103"/>
    <cellStyle name="20% - Accent1 3 2 2 2 8 2" xfId="29878"/>
    <cellStyle name="20% - Accent1 3 2 2 2 9" xfId="7759"/>
    <cellStyle name="20% - Accent1 3 2 2 2 9 2" xfId="30534"/>
    <cellStyle name="20% - Accent1 3 2 2 20" xfId="13335"/>
    <cellStyle name="20% - Accent1 3 2 2 20 2" xfId="36110"/>
    <cellStyle name="20% - Accent1 3 2 2 21" xfId="13991"/>
    <cellStyle name="20% - Accent1 3 2 2 21 2" xfId="36766"/>
    <cellStyle name="20% - Accent1 3 2 2 22" xfId="14647"/>
    <cellStyle name="20% - Accent1 3 2 2 22 2" xfId="37422"/>
    <cellStyle name="20% - Accent1 3 2 2 23" xfId="15303"/>
    <cellStyle name="20% - Accent1 3 2 2 23 2" xfId="38078"/>
    <cellStyle name="20% - Accent1 3 2 2 24" xfId="15959"/>
    <cellStyle name="20% - Accent1 3 2 2 24 2" xfId="38734"/>
    <cellStyle name="20% - Accent1 3 2 2 25" xfId="16615"/>
    <cellStyle name="20% - Accent1 3 2 2 25 2" xfId="39390"/>
    <cellStyle name="20% - Accent1 3 2 2 26" xfId="17271"/>
    <cellStyle name="20% - Accent1 3 2 2 26 2" xfId="40046"/>
    <cellStyle name="20% - Accent1 3 2 2 27" xfId="17927"/>
    <cellStyle name="20% - Accent1 3 2 2 27 2" xfId="40702"/>
    <cellStyle name="20% - Accent1 3 2 2 28" xfId="18583"/>
    <cellStyle name="20% - Accent1 3 2 2 28 2" xfId="41358"/>
    <cellStyle name="20% - Accent1 3 2 2 29" xfId="19239"/>
    <cellStyle name="20% - Accent1 3 2 2 29 2" xfId="42014"/>
    <cellStyle name="20% - Accent1 3 2 2 3" xfId="1199"/>
    <cellStyle name="20% - Accent1 3 2 2 3 2" xfId="2839"/>
    <cellStyle name="20% - Accent1 3 2 2 3 2 2" xfId="25614"/>
    <cellStyle name="20% - Accent1 3 2 2 3 3" xfId="23974"/>
    <cellStyle name="20% - Accent1 3 2 2 30" xfId="19895"/>
    <cellStyle name="20% - Accent1 3 2 2 30 2" xfId="42670"/>
    <cellStyle name="20% - Accent1 3 2 2 31" xfId="20551"/>
    <cellStyle name="20% - Accent1 3 2 2 31 2" xfId="43326"/>
    <cellStyle name="20% - Accent1 3 2 2 32" xfId="21207"/>
    <cellStyle name="20% - Accent1 3 2 2 32 2" xfId="43982"/>
    <cellStyle name="20% - Accent1 3 2 2 33" xfId="21863"/>
    <cellStyle name="20% - Accent1 3 2 2 33 2" xfId="44638"/>
    <cellStyle name="20% - Accent1 3 2 2 34" xfId="22519"/>
    <cellStyle name="20% - Accent1 3 2 2 34 2" xfId="45294"/>
    <cellStyle name="20% - Accent1 3 2 2 35" xfId="23318"/>
    <cellStyle name="20% - Accent1 3 2 2 4" xfId="1855"/>
    <cellStyle name="20% - Accent1 3 2 2 4 2" xfId="3495"/>
    <cellStyle name="20% - Accent1 3 2 2 4 2 2" xfId="26270"/>
    <cellStyle name="20% - Accent1 3 2 2 4 3" xfId="24630"/>
    <cellStyle name="20% - Accent1 3 2 2 5" xfId="4151"/>
    <cellStyle name="20% - Accent1 3 2 2 5 2" xfId="26926"/>
    <cellStyle name="20% - Accent1 3 2 2 6" xfId="4807"/>
    <cellStyle name="20% - Accent1 3 2 2 6 2" xfId="27582"/>
    <cellStyle name="20% - Accent1 3 2 2 7" xfId="5463"/>
    <cellStyle name="20% - Accent1 3 2 2 7 2" xfId="28238"/>
    <cellStyle name="20% - Accent1 3 2 2 8" xfId="6119"/>
    <cellStyle name="20% - Accent1 3 2 2 8 2" xfId="28894"/>
    <cellStyle name="20% - Accent1 3 2 2 9" xfId="2511"/>
    <cellStyle name="20% - Accent1 3 2 2 9 2" xfId="25286"/>
    <cellStyle name="20% - Accent1 3 2 20" xfId="12494"/>
    <cellStyle name="20% - Accent1 3 2 20 2" xfId="35269"/>
    <cellStyle name="20% - Accent1 3 2 21" xfId="13150"/>
    <cellStyle name="20% - Accent1 3 2 21 2" xfId="35925"/>
    <cellStyle name="20% - Accent1 3 2 22" xfId="13806"/>
    <cellStyle name="20% - Accent1 3 2 22 2" xfId="36581"/>
    <cellStyle name="20% - Accent1 3 2 23" xfId="14462"/>
    <cellStyle name="20% - Accent1 3 2 23 2" xfId="37237"/>
    <cellStyle name="20% - Accent1 3 2 24" xfId="15118"/>
    <cellStyle name="20% - Accent1 3 2 24 2" xfId="37893"/>
    <cellStyle name="20% - Accent1 3 2 25" xfId="15774"/>
    <cellStyle name="20% - Accent1 3 2 25 2" xfId="38549"/>
    <cellStyle name="20% - Accent1 3 2 26" xfId="16430"/>
    <cellStyle name="20% - Accent1 3 2 26 2" xfId="39205"/>
    <cellStyle name="20% - Accent1 3 2 27" xfId="17086"/>
    <cellStyle name="20% - Accent1 3 2 27 2" xfId="39861"/>
    <cellStyle name="20% - Accent1 3 2 28" xfId="17742"/>
    <cellStyle name="20% - Accent1 3 2 28 2" xfId="40517"/>
    <cellStyle name="20% - Accent1 3 2 29" xfId="18398"/>
    <cellStyle name="20% - Accent1 3 2 29 2" xfId="41173"/>
    <cellStyle name="20% - Accent1 3 2 3" xfId="686"/>
    <cellStyle name="20% - Accent1 3 2 3 10" xfId="8230"/>
    <cellStyle name="20% - Accent1 3 2 3 10 2" xfId="31005"/>
    <cellStyle name="20% - Accent1 3 2 3 11" xfId="8886"/>
    <cellStyle name="20% - Accent1 3 2 3 11 2" xfId="31661"/>
    <cellStyle name="20% - Accent1 3 2 3 12" xfId="9542"/>
    <cellStyle name="20% - Accent1 3 2 3 12 2" xfId="32317"/>
    <cellStyle name="20% - Accent1 3 2 3 13" xfId="10198"/>
    <cellStyle name="20% - Accent1 3 2 3 13 2" xfId="32973"/>
    <cellStyle name="20% - Accent1 3 2 3 14" xfId="10854"/>
    <cellStyle name="20% - Accent1 3 2 3 14 2" xfId="33629"/>
    <cellStyle name="20% - Accent1 3 2 3 15" xfId="11510"/>
    <cellStyle name="20% - Accent1 3 2 3 15 2" xfId="34285"/>
    <cellStyle name="20% - Accent1 3 2 3 16" xfId="12166"/>
    <cellStyle name="20% - Accent1 3 2 3 16 2" xfId="34941"/>
    <cellStyle name="20% - Accent1 3 2 3 17" xfId="12822"/>
    <cellStyle name="20% - Accent1 3 2 3 17 2" xfId="35597"/>
    <cellStyle name="20% - Accent1 3 2 3 18" xfId="13478"/>
    <cellStyle name="20% - Accent1 3 2 3 18 2" xfId="36253"/>
    <cellStyle name="20% - Accent1 3 2 3 19" xfId="14134"/>
    <cellStyle name="20% - Accent1 3 2 3 19 2" xfId="36909"/>
    <cellStyle name="20% - Accent1 3 2 3 2" xfId="1342"/>
    <cellStyle name="20% - Accent1 3 2 3 2 2" xfId="3638"/>
    <cellStyle name="20% - Accent1 3 2 3 2 2 2" xfId="26413"/>
    <cellStyle name="20% - Accent1 3 2 3 2 3" xfId="24117"/>
    <cellStyle name="20% - Accent1 3 2 3 20" xfId="14790"/>
    <cellStyle name="20% - Accent1 3 2 3 20 2" xfId="37565"/>
    <cellStyle name="20% - Accent1 3 2 3 21" xfId="15446"/>
    <cellStyle name="20% - Accent1 3 2 3 21 2" xfId="38221"/>
    <cellStyle name="20% - Accent1 3 2 3 22" xfId="16102"/>
    <cellStyle name="20% - Accent1 3 2 3 22 2" xfId="38877"/>
    <cellStyle name="20% - Accent1 3 2 3 23" xfId="16758"/>
    <cellStyle name="20% - Accent1 3 2 3 23 2" xfId="39533"/>
    <cellStyle name="20% - Accent1 3 2 3 24" xfId="17414"/>
    <cellStyle name="20% - Accent1 3 2 3 24 2" xfId="40189"/>
    <cellStyle name="20% - Accent1 3 2 3 25" xfId="18070"/>
    <cellStyle name="20% - Accent1 3 2 3 25 2" xfId="40845"/>
    <cellStyle name="20% - Accent1 3 2 3 26" xfId="18726"/>
    <cellStyle name="20% - Accent1 3 2 3 26 2" xfId="41501"/>
    <cellStyle name="20% - Accent1 3 2 3 27" xfId="19382"/>
    <cellStyle name="20% - Accent1 3 2 3 27 2" xfId="42157"/>
    <cellStyle name="20% - Accent1 3 2 3 28" xfId="20038"/>
    <cellStyle name="20% - Accent1 3 2 3 28 2" xfId="42813"/>
    <cellStyle name="20% - Accent1 3 2 3 29" xfId="20694"/>
    <cellStyle name="20% - Accent1 3 2 3 29 2" xfId="43469"/>
    <cellStyle name="20% - Accent1 3 2 3 3" xfId="1998"/>
    <cellStyle name="20% - Accent1 3 2 3 3 2" xfId="4294"/>
    <cellStyle name="20% - Accent1 3 2 3 3 2 2" xfId="27069"/>
    <cellStyle name="20% - Accent1 3 2 3 3 3" xfId="24773"/>
    <cellStyle name="20% - Accent1 3 2 3 30" xfId="21350"/>
    <cellStyle name="20% - Accent1 3 2 3 30 2" xfId="44125"/>
    <cellStyle name="20% - Accent1 3 2 3 31" xfId="22006"/>
    <cellStyle name="20% - Accent1 3 2 3 31 2" xfId="44781"/>
    <cellStyle name="20% - Accent1 3 2 3 32" xfId="22662"/>
    <cellStyle name="20% - Accent1 3 2 3 32 2" xfId="45437"/>
    <cellStyle name="20% - Accent1 3 2 3 33" xfId="23461"/>
    <cellStyle name="20% - Accent1 3 2 3 4" xfId="4950"/>
    <cellStyle name="20% - Accent1 3 2 3 4 2" xfId="27725"/>
    <cellStyle name="20% - Accent1 3 2 3 5" xfId="5606"/>
    <cellStyle name="20% - Accent1 3 2 3 5 2" xfId="28381"/>
    <cellStyle name="20% - Accent1 3 2 3 6" xfId="6262"/>
    <cellStyle name="20% - Accent1 3 2 3 6 2" xfId="29037"/>
    <cellStyle name="20% - Accent1 3 2 3 7" xfId="2982"/>
    <cellStyle name="20% - Accent1 3 2 3 7 2" xfId="25757"/>
    <cellStyle name="20% - Accent1 3 2 3 8" xfId="6918"/>
    <cellStyle name="20% - Accent1 3 2 3 8 2" xfId="29693"/>
    <cellStyle name="20% - Accent1 3 2 3 9" xfId="7574"/>
    <cellStyle name="20% - Accent1 3 2 3 9 2" xfId="30349"/>
    <cellStyle name="20% - Accent1 3 2 30" xfId="19054"/>
    <cellStyle name="20% - Accent1 3 2 30 2" xfId="41829"/>
    <cellStyle name="20% - Accent1 3 2 31" xfId="19710"/>
    <cellStyle name="20% - Accent1 3 2 31 2" xfId="42485"/>
    <cellStyle name="20% - Accent1 3 2 32" xfId="20366"/>
    <cellStyle name="20% - Accent1 3 2 32 2" xfId="43141"/>
    <cellStyle name="20% - Accent1 3 2 33" xfId="21022"/>
    <cellStyle name="20% - Accent1 3 2 33 2" xfId="43797"/>
    <cellStyle name="20% - Accent1 3 2 34" xfId="21678"/>
    <cellStyle name="20% - Accent1 3 2 34 2" xfId="44453"/>
    <cellStyle name="20% - Accent1 3 2 35" xfId="22334"/>
    <cellStyle name="20% - Accent1 3 2 35 2" xfId="45109"/>
    <cellStyle name="20% - Accent1 3 2 36" xfId="22990"/>
    <cellStyle name="20% - Accent1 3 2 4" xfId="359"/>
    <cellStyle name="20% - Accent1 3 2 4 2" xfId="2654"/>
    <cellStyle name="20% - Accent1 3 2 4 2 2" xfId="25429"/>
    <cellStyle name="20% - Accent1 3 2 4 3" xfId="23133"/>
    <cellStyle name="20% - Accent1 3 2 5" xfId="1014"/>
    <cellStyle name="20% - Accent1 3 2 5 2" xfId="3310"/>
    <cellStyle name="20% - Accent1 3 2 5 2 2" xfId="26085"/>
    <cellStyle name="20% - Accent1 3 2 5 3" xfId="23789"/>
    <cellStyle name="20% - Accent1 3 2 6" xfId="1670"/>
    <cellStyle name="20% - Accent1 3 2 6 2" xfId="3966"/>
    <cellStyle name="20% - Accent1 3 2 6 2 2" xfId="26741"/>
    <cellStyle name="20% - Accent1 3 2 6 3" xfId="24445"/>
    <cellStyle name="20% - Accent1 3 2 7" xfId="4622"/>
    <cellStyle name="20% - Accent1 3 2 7 2" xfId="27397"/>
    <cellStyle name="20% - Accent1 3 2 8" xfId="5278"/>
    <cellStyle name="20% - Accent1 3 2 8 2" xfId="28053"/>
    <cellStyle name="20% - Accent1 3 2 9" xfId="5934"/>
    <cellStyle name="20% - Accent1 3 2 9 2" xfId="28709"/>
    <cellStyle name="20% - Accent1 3 20" xfId="11783"/>
    <cellStyle name="20% - Accent1 3 20 2" xfId="34558"/>
    <cellStyle name="20% - Accent1 3 21" xfId="12439"/>
    <cellStyle name="20% - Accent1 3 21 2" xfId="35214"/>
    <cellStyle name="20% - Accent1 3 22" xfId="13095"/>
    <cellStyle name="20% - Accent1 3 22 2" xfId="35870"/>
    <cellStyle name="20% - Accent1 3 23" xfId="13751"/>
    <cellStyle name="20% - Accent1 3 23 2" xfId="36526"/>
    <cellStyle name="20% - Accent1 3 24" xfId="14407"/>
    <cellStyle name="20% - Accent1 3 24 2" xfId="37182"/>
    <cellStyle name="20% - Accent1 3 25" xfId="15063"/>
    <cellStyle name="20% - Accent1 3 25 2" xfId="37838"/>
    <cellStyle name="20% - Accent1 3 26" xfId="15719"/>
    <cellStyle name="20% - Accent1 3 26 2" xfId="38494"/>
    <cellStyle name="20% - Accent1 3 27" xfId="16375"/>
    <cellStyle name="20% - Accent1 3 27 2" xfId="39150"/>
    <cellStyle name="20% - Accent1 3 28" xfId="17031"/>
    <cellStyle name="20% - Accent1 3 28 2" xfId="39806"/>
    <cellStyle name="20% - Accent1 3 29" xfId="17687"/>
    <cellStyle name="20% - Accent1 3 29 2" xfId="40462"/>
    <cellStyle name="20% - Accent1 3 3" xfId="488"/>
    <cellStyle name="20% - Accent1 3 3 10" xfId="6720"/>
    <cellStyle name="20% - Accent1 3 3 10 2" xfId="29495"/>
    <cellStyle name="20% - Accent1 3 3 11" xfId="7376"/>
    <cellStyle name="20% - Accent1 3 3 11 2" xfId="30151"/>
    <cellStyle name="20% - Accent1 3 3 12" xfId="8032"/>
    <cellStyle name="20% - Accent1 3 3 12 2" xfId="30807"/>
    <cellStyle name="20% - Accent1 3 3 13" xfId="8688"/>
    <cellStyle name="20% - Accent1 3 3 13 2" xfId="31463"/>
    <cellStyle name="20% - Accent1 3 3 14" xfId="9344"/>
    <cellStyle name="20% - Accent1 3 3 14 2" xfId="32119"/>
    <cellStyle name="20% - Accent1 3 3 15" xfId="10000"/>
    <cellStyle name="20% - Accent1 3 3 15 2" xfId="32775"/>
    <cellStyle name="20% - Accent1 3 3 16" xfId="10656"/>
    <cellStyle name="20% - Accent1 3 3 16 2" xfId="33431"/>
    <cellStyle name="20% - Accent1 3 3 17" xfId="11312"/>
    <cellStyle name="20% - Accent1 3 3 17 2" xfId="34087"/>
    <cellStyle name="20% - Accent1 3 3 18" xfId="11968"/>
    <cellStyle name="20% - Accent1 3 3 18 2" xfId="34743"/>
    <cellStyle name="20% - Accent1 3 3 19" xfId="12624"/>
    <cellStyle name="20% - Accent1 3 3 19 2" xfId="35399"/>
    <cellStyle name="20% - Accent1 3 3 2" xfId="816"/>
    <cellStyle name="20% - Accent1 3 3 2 10" xfId="8360"/>
    <cellStyle name="20% - Accent1 3 3 2 10 2" xfId="31135"/>
    <cellStyle name="20% - Accent1 3 3 2 11" xfId="9016"/>
    <cellStyle name="20% - Accent1 3 3 2 11 2" xfId="31791"/>
    <cellStyle name="20% - Accent1 3 3 2 12" xfId="9672"/>
    <cellStyle name="20% - Accent1 3 3 2 12 2" xfId="32447"/>
    <cellStyle name="20% - Accent1 3 3 2 13" xfId="10328"/>
    <cellStyle name="20% - Accent1 3 3 2 13 2" xfId="33103"/>
    <cellStyle name="20% - Accent1 3 3 2 14" xfId="10984"/>
    <cellStyle name="20% - Accent1 3 3 2 14 2" xfId="33759"/>
    <cellStyle name="20% - Accent1 3 3 2 15" xfId="11640"/>
    <cellStyle name="20% - Accent1 3 3 2 15 2" xfId="34415"/>
    <cellStyle name="20% - Accent1 3 3 2 16" xfId="12296"/>
    <cellStyle name="20% - Accent1 3 3 2 16 2" xfId="35071"/>
    <cellStyle name="20% - Accent1 3 3 2 17" xfId="12952"/>
    <cellStyle name="20% - Accent1 3 3 2 17 2" xfId="35727"/>
    <cellStyle name="20% - Accent1 3 3 2 18" xfId="13608"/>
    <cellStyle name="20% - Accent1 3 3 2 18 2" xfId="36383"/>
    <cellStyle name="20% - Accent1 3 3 2 19" xfId="14264"/>
    <cellStyle name="20% - Accent1 3 3 2 19 2" xfId="37039"/>
    <cellStyle name="20% - Accent1 3 3 2 2" xfId="1472"/>
    <cellStyle name="20% - Accent1 3 3 2 2 2" xfId="3768"/>
    <cellStyle name="20% - Accent1 3 3 2 2 2 2" xfId="26543"/>
    <cellStyle name="20% - Accent1 3 3 2 2 3" xfId="24247"/>
    <cellStyle name="20% - Accent1 3 3 2 20" xfId="14920"/>
    <cellStyle name="20% - Accent1 3 3 2 20 2" xfId="37695"/>
    <cellStyle name="20% - Accent1 3 3 2 21" xfId="15576"/>
    <cellStyle name="20% - Accent1 3 3 2 21 2" xfId="38351"/>
    <cellStyle name="20% - Accent1 3 3 2 22" xfId="16232"/>
    <cellStyle name="20% - Accent1 3 3 2 22 2" xfId="39007"/>
    <cellStyle name="20% - Accent1 3 3 2 23" xfId="16888"/>
    <cellStyle name="20% - Accent1 3 3 2 23 2" xfId="39663"/>
    <cellStyle name="20% - Accent1 3 3 2 24" xfId="17544"/>
    <cellStyle name="20% - Accent1 3 3 2 24 2" xfId="40319"/>
    <cellStyle name="20% - Accent1 3 3 2 25" xfId="18200"/>
    <cellStyle name="20% - Accent1 3 3 2 25 2" xfId="40975"/>
    <cellStyle name="20% - Accent1 3 3 2 26" xfId="18856"/>
    <cellStyle name="20% - Accent1 3 3 2 26 2" xfId="41631"/>
    <cellStyle name="20% - Accent1 3 3 2 27" xfId="19512"/>
    <cellStyle name="20% - Accent1 3 3 2 27 2" xfId="42287"/>
    <cellStyle name="20% - Accent1 3 3 2 28" xfId="20168"/>
    <cellStyle name="20% - Accent1 3 3 2 28 2" xfId="42943"/>
    <cellStyle name="20% - Accent1 3 3 2 29" xfId="20824"/>
    <cellStyle name="20% - Accent1 3 3 2 29 2" xfId="43599"/>
    <cellStyle name="20% - Accent1 3 3 2 3" xfId="2128"/>
    <cellStyle name="20% - Accent1 3 3 2 3 2" xfId="4424"/>
    <cellStyle name="20% - Accent1 3 3 2 3 2 2" xfId="27199"/>
    <cellStyle name="20% - Accent1 3 3 2 3 3" xfId="24903"/>
    <cellStyle name="20% - Accent1 3 3 2 30" xfId="21480"/>
    <cellStyle name="20% - Accent1 3 3 2 30 2" xfId="44255"/>
    <cellStyle name="20% - Accent1 3 3 2 31" xfId="22136"/>
    <cellStyle name="20% - Accent1 3 3 2 31 2" xfId="44911"/>
    <cellStyle name="20% - Accent1 3 3 2 32" xfId="22792"/>
    <cellStyle name="20% - Accent1 3 3 2 32 2" xfId="45567"/>
    <cellStyle name="20% - Accent1 3 3 2 33" xfId="23591"/>
    <cellStyle name="20% - Accent1 3 3 2 4" xfId="5080"/>
    <cellStyle name="20% - Accent1 3 3 2 4 2" xfId="27855"/>
    <cellStyle name="20% - Accent1 3 3 2 5" xfId="5736"/>
    <cellStyle name="20% - Accent1 3 3 2 5 2" xfId="28511"/>
    <cellStyle name="20% - Accent1 3 3 2 6" xfId="6392"/>
    <cellStyle name="20% - Accent1 3 3 2 6 2" xfId="29167"/>
    <cellStyle name="20% - Accent1 3 3 2 7" xfId="3112"/>
    <cellStyle name="20% - Accent1 3 3 2 7 2" xfId="25887"/>
    <cellStyle name="20% - Accent1 3 3 2 8" xfId="7048"/>
    <cellStyle name="20% - Accent1 3 3 2 8 2" xfId="29823"/>
    <cellStyle name="20% - Accent1 3 3 2 9" xfId="7704"/>
    <cellStyle name="20% - Accent1 3 3 2 9 2" xfId="30479"/>
    <cellStyle name="20% - Accent1 3 3 20" xfId="13280"/>
    <cellStyle name="20% - Accent1 3 3 20 2" xfId="36055"/>
    <cellStyle name="20% - Accent1 3 3 21" xfId="13936"/>
    <cellStyle name="20% - Accent1 3 3 21 2" xfId="36711"/>
    <cellStyle name="20% - Accent1 3 3 22" xfId="14592"/>
    <cellStyle name="20% - Accent1 3 3 22 2" xfId="37367"/>
    <cellStyle name="20% - Accent1 3 3 23" xfId="15248"/>
    <cellStyle name="20% - Accent1 3 3 23 2" xfId="38023"/>
    <cellStyle name="20% - Accent1 3 3 24" xfId="15904"/>
    <cellStyle name="20% - Accent1 3 3 24 2" xfId="38679"/>
    <cellStyle name="20% - Accent1 3 3 25" xfId="16560"/>
    <cellStyle name="20% - Accent1 3 3 25 2" xfId="39335"/>
    <cellStyle name="20% - Accent1 3 3 26" xfId="17216"/>
    <cellStyle name="20% - Accent1 3 3 26 2" xfId="39991"/>
    <cellStyle name="20% - Accent1 3 3 27" xfId="17872"/>
    <cellStyle name="20% - Accent1 3 3 27 2" xfId="40647"/>
    <cellStyle name="20% - Accent1 3 3 28" xfId="18528"/>
    <cellStyle name="20% - Accent1 3 3 28 2" xfId="41303"/>
    <cellStyle name="20% - Accent1 3 3 29" xfId="19184"/>
    <cellStyle name="20% - Accent1 3 3 29 2" xfId="41959"/>
    <cellStyle name="20% - Accent1 3 3 3" xfId="1144"/>
    <cellStyle name="20% - Accent1 3 3 3 2" xfId="2784"/>
    <cellStyle name="20% - Accent1 3 3 3 2 2" xfId="25559"/>
    <cellStyle name="20% - Accent1 3 3 3 3" xfId="23919"/>
    <cellStyle name="20% - Accent1 3 3 30" xfId="19840"/>
    <cellStyle name="20% - Accent1 3 3 30 2" xfId="42615"/>
    <cellStyle name="20% - Accent1 3 3 31" xfId="20496"/>
    <cellStyle name="20% - Accent1 3 3 31 2" xfId="43271"/>
    <cellStyle name="20% - Accent1 3 3 32" xfId="21152"/>
    <cellStyle name="20% - Accent1 3 3 32 2" xfId="43927"/>
    <cellStyle name="20% - Accent1 3 3 33" xfId="21808"/>
    <cellStyle name="20% - Accent1 3 3 33 2" xfId="44583"/>
    <cellStyle name="20% - Accent1 3 3 34" xfId="22464"/>
    <cellStyle name="20% - Accent1 3 3 34 2" xfId="45239"/>
    <cellStyle name="20% - Accent1 3 3 35" xfId="23263"/>
    <cellStyle name="20% - Accent1 3 3 4" xfId="1800"/>
    <cellStyle name="20% - Accent1 3 3 4 2" xfId="3440"/>
    <cellStyle name="20% - Accent1 3 3 4 2 2" xfId="26215"/>
    <cellStyle name="20% - Accent1 3 3 4 3" xfId="24575"/>
    <cellStyle name="20% - Accent1 3 3 5" xfId="4096"/>
    <cellStyle name="20% - Accent1 3 3 5 2" xfId="26871"/>
    <cellStyle name="20% - Accent1 3 3 6" xfId="4752"/>
    <cellStyle name="20% - Accent1 3 3 6 2" xfId="27527"/>
    <cellStyle name="20% - Accent1 3 3 7" xfId="5408"/>
    <cellStyle name="20% - Accent1 3 3 7 2" xfId="28183"/>
    <cellStyle name="20% - Accent1 3 3 8" xfId="6064"/>
    <cellStyle name="20% - Accent1 3 3 8 2" xfId="28839"/>
    <cellStyle name="20% - Accent1 3 3 9" xfId="2456"/>
    <cellStyle name="20% - Accent1 3 3 9 2" xfId="25231"/>
    <cellStyle name="20% - Accent1 3 30" xfId="18343"/>
    <cellStyle name="20% - Accent1 3 30 2" xfId="41118"/>
    <cellStyle name="20% - Accent1 3 31" xfId="18999"/>
    <cellStyle name="20% - Accent1 3 31 2" xfId="41774"/>
    <cellStyle name="20% - Accent1 3 32" xfId="19655"/>
    <cellStyle name="20% - Accent1 3 32 2" xfId="42430"/>
    <cellStyle name="20% - Accent1 3 33" xfId="20311"/>
    <cellStyle name="20% - Accent1 3 33 2" xfId="43086"/>
    <cellStyle name="20% - Accent1 3 34" xfId="20967"/>
    <cellStyle name="20% - Accent1 3 34 2" xfId="43742"/>
    <cellStyle name="20% - Accent1 3 35" xfId="21623"/>
    <cellStyle name="20% - Accent1 3 35 2" xfId="44398"/>
    <cellStyle name="20% - Accent1 3 36" xfId="22279"/>
    <cellStyle name="20% - Accent1 3 36 2" xfId="45054"/>
    <cellStyle name="20% - Accent1 3 37" xfId="218"/>
    <cellStyle name="20% - Accent1 3 38" xfId="22935"/>
    <cellStyle name="20% - Accent1 3 4" xfId="631"/>
    <cellStyle name="20% - Accent1 3 4 10" xfId="8175"/>
    <cellStyle name="20% - Accent1 3 4 10 2" xfId="30950"/>
    <cellStyle name="20% - Accent1 3 4 11" xfId="8831"/>
    <cellStyle name="20% - Accent1 3 4 11 2" xfId="31606"/>
    <cellStyle name="20% - Accent1 3 4 12" xfId="9487"/>
    <cellStyle name="20% - Accent1 3 4 12 2" xfId="32262"/>
    <cellStyle name="20% - Accent1 3 4 13" xfId="10143"/>
    <cellStyle name="20% - Accent1 3 4 13 2" xfId="32918"/>
    <cellStyle name="20% - Accent1 3 4 14" xfId="10799"/>
    <cellStyle name="20% - Accent1 3 4 14 2" xfId="33574"/>
    <cellStyle name="20% - Accent1 3 4 15" xfId="11455"/>
    <cellStyle name="20% - Accent1 3 4 15 2" xfId="34230"/>
    <cellStyle name="20% - Accent1 3 4 16" xfId="12111"/>
    <cellStyle name="20% - Accent1 3 4 16 2" xfId="34886"/>
    <cellStyle name="20% - Accent1 3 4 17" xfId="12767"/>
    <cellStyle name="20% - Accent1 3 4 17 2" xfId="35542"/>
    <cellStyle name="20% - Accent1 3 4 18" xfId="13423"/>
    <cellStyle name="20% - Accent1 3 4 18 2" xfId="36198"/>
    <cellStyle name="20% - Accent1 3 4 19" xfId="14079"/>
    <cellStyle name="20% - Accent1 3 4 19 2" xfId="36854"/>
    <cellStyle name="20% - Accent1 3 4 2" xfId="1287"/>
    <cellStyle name="20% - Accent1 3 4 2 2" xfId="3583"/>
    <cellStyle name="20% - Accent1 3 4 2 2 2" xfId="26358"/>
    <cellStyle name="20% - Accent1 3 4 2 3" xfId="24062"/>
    <cellStyle name="20% - Accent1 3 4 20" xfId="14735"/>
    <cellStyle name="20% - Accent1 3 4 20 2" xfId="37510"/>
    <cellStyle name="20% - Accent1 3 4 21" xfId="15391"/>
    <cellStyle name="20% - Accent1 3 4 21 2" xfId="38166"/>
    <cellStyle name="20% - Accent1 3 4 22" xfId="16047"/>
    <cellStyle name="20% - Accent1 3 4 22 2" xfId="38822"/>
    <cellStyle name="20% - Accent1 3 4 23" xfId="16703"/>
    <cellStyle name="20% - Accent1 3 4 23 2" xfId="39478"/>
    <cellStyle name="20% - Accent1 3 4 24" xfId="17359"/>
    <cellStyle name="20% - Accent1 3 4 24 2" xfId="40134"/>
    <cellStyle name="20% - Accent1 3 4 25" xfId="18015"/>
    <cellStyle name="20% - Accent1 3 4 25 2" xfId="40790"/>
    <cellStyle name="20% - Accent1 3 4 26" xfId="18671"/>
    <cellStyle name="20% - Accent1 3 4 26 2" xfId="41446"/>
    <cellStyle name="20% - Accent1 3 4 27" xfId="19327"/>
    <cellStyle name="20% - Accent1 3 4 27 2" xfId="42102"/>
    <cellStyle name="20% - Accent1 3 4 28" xfId="19983"/>
    <cellStyle name="20% - Accent1 3 4 28 2" xfId="42758"/>
    <cellStyle name="20% - Accent1 3 4 29" xfId="20639"/>
    <cellStyle name="20% - Accent1 3 4 29 2" xfId="43414"/>
    <cellStyle name="20% - Accent1 3 4 3" xfId="1943"/>
    <cellStyle name="20% - Accent1 3 4 3 2" xfId="4239"/>
    <cellStyle name="20% - Accent1 3 4 3 2 2" xfId="27014"/>
    <cellStyle name="20% - Accent1 3 4 3 3" xfId="24718"/>
    <cellStyle name="20% - Accent1 3 4 30" xfId="21295"/>
    <cellStyle name="20% - Accent1 3 4 30 2" xfId="44070"/>
    <cellStyle name="20% - Accent1 3 4 31" xfId="21951"/>
    <cellStyle name="20% - Accent1 3 4 31 2" xfId="44726"/>
    <cellStyle name="20% - Accent1 3 4 32" xfId="22607"/>
    <cellStyle name="20% - Accent1 3 4 32 2" xfId="45382"/>
    <cellStyle name="20% - Accent1 3 4 33" xfId="23406"/>
    <cellStyle name="20% - Accent1 3 4 4" xfId="4895"/>
    <cellStyle name="20% - Accent1 3 4 4 2" xfId="27670"/>
    <cellStyle name="20% - Accent1 3 4 5" xfId="5551"/>
    <cellStyle name="20% - Accent1 3 4 5 2" xfId="28326"/>
    <cellStyle name="20% - Accent1 3 4 6" xfId="6207"/>
    <cellStyle name="20% - Accent1 3 4 6 2" xfId="28982"/>
    <cellStyle name="20% - Accent1 3 4 7" xfId="2927"/>
    <cellStyle name="20% - Accent1 3 4 7 2" xfId="25702"/>
    <cellStyle name="20% - Accent1 3 4 8" xfId="6863"/>
    <cellStyle name="20% - Accent1 3 4 8 2" xfId="29638"/>
    <cellStyle name="20% - Accent1 3 4 9" xfId="7519"/>
    <cellStyle name="20% - Accent1 3 4 9 2" xfId="30294"/>
    <cellStyle name="20% - Accent1 3 5" xfId="304"/>
    <cellStyle name="20% - Accent1 3 5 2" xfId="2599"/>
    <cellStyle name="20% - Accent1 3 5 2 2" xfId="25374"/>
    <cellStyle name="20% - Accent1 3 5 3" xfId="23078"/>
    <cellStyle name="20% - Accent1 3 6" xfId="959"/>
    <cellStyle name="20% - Accent1 3 6 2" xfId="3255"/>
    <cellStyle name="20% - Accent1 3 6 2 2" xfId="26030"/>
    <cellStyle name="20% - Accent1 3 6 3" xfId="23734"/>
    <cellStyle name="20% - Accent1 3 7" xfId="1615"/>
    <cellStyle name="20% - Accent1 3 7 2" xfId="3911"/>
    <cellStyle name="20% - Accent1 3 7 2 2" xfId="26686"/>
    <cellStyle name="20% - Accent1 3 7 3" xfId="24390"/>
    <cellStyle name="20% - Accent1 3 8" xfId="4567"/>
    <cellStyle name="20% - Accent1 3 8 2" xfId="27342"/>
    <cellStyle name="20% - Accent1 3 9" xfId="5223"/>
    <cellStyle name="20% - Accent1 3 9 2" xfId="27998"/>
    <cellStyle name="20% - Accent1 30" xfId="13720"/>
    <cellStyle name="20% - Accent1 30 2" xfId="36495"/>
    <cellStyle name="20% - Accent1 31" xfId="14376"/>
    <cellStyle name="20% - Accent1 31 2" xfId="37151"/>
    <cellStyle name="20% - Accent1 32" xfId="15032"/>
    <cellStyle name="20% - Accent1 32 2" xfId="37807"/>
    <cellStyle name="20% - Accent1 33" xfId="15688"/>
    <cellStyle name="20% - Accent1 33 2" xfId="38463"/>
    <cellStyle name="20% - Accent1 34" xfId="16344"/>
    <cellStyle name="20% - Accent1 34 2" xfId="39119"/>
    <cellStyle name="20% - Accent1 35" xfId="17000"/>
    <cellStyle name="20% - Accent1 35 2" xfId="39775"/>
    <cellStyle name="20% - Accent1 36" xfId="17656"/>
    <cellStyle name="20% - Accent1 36 2" xfId="40431"/>
    <cellStyle name="20% - Accent1 37" xfId="18312"/>
    <cellStyle name="20% - Accent1 37 2" xfId="41087"/>
    <cellStyle name="20% - Accent1 38" xfId="18968"/>
    <cellStyle name="20% - Accent1 38 2" xfId="41743"/>
    <cellStyle name="20% - Accent1 39" xfId="19624"/>
    <cellStyle name="20% - Accent1 39 2" xfId="42399"/>
    <cellStyle name="20% - Accent1 4" xfId="87"/>
    <cellStyle name="20% - Accent1 4 10" xfId="5893"/>
    <cellStyle name="20% - Accent1 4 10 2" xfId="28668"/>
    <cellStyle name="20% - Accent1 4 11" xfId="2285"/>
    <cellStyle name="20% - Accent1 4 11 2" xfId="25060"/>
    <cellStyle name="20% - Accent1 4 12" xfId="6549"/>
    <cellStyle name="20% - Accent1 4 12 2" xfId="29324"/>
    <cellStyle name="20% - Accent1 4 13" xfId="7205"/>
    <cellStyle name="20% - Accent1 4 13 2" xfId="29980"/>
    <cellStyle name="20% - Accent1 4 14" xfId="7861"/>
    <cellStyle name="20% - Accent1 4 14 2" xfId="30636"/>
    <cellStyle name="20% - Accent1 4 15" xfId="8517"/>
    <cellStyle name="20% - Accent1 4 15 2" xfId="31292"/>
    <cellStyle name="20% - Accent1 4 16" xfId="9173"/>
    <cellStyle name="20% - Accent1 4 16 2" xfId="31948"/>
    <cellStyle name="20% - Accent1 4 17" xfId="9829"/>
    <cellStyle name="20% - Accent1 4 17 2" xfId="32604"/>
    <cellStyle name="20% - Accent1 4 18" xfId="10485"/>
    <cellStyle name="20% - Accent1 4 18 2" xfId="33260"/>
    <cellStyle name="20% - Accent1 4 19" xfId="11141"/>
    <cellStyle name="20% - Accent1 4 19 2" xfId="33916"/>
    <cellStyle name="20% - Accent1 4 2" xfId="158"/>
    <cellStyle name="20% - Accent1 4 2 10" xfId="2356"/>
    <cellStyle name="20% - Accent1 4 2 10 2" xfId="25131"/>
    <cellStyle name="20% - Accent1 4 2 11" xfId="6620"/>
    <cellStyle name="20% - Accent1 4 2 11 2" xfId="29395"/>
    <cellStyle name="20% - Accent1 4 2 12" xfId="7276"/>
    <cellStyle name="20% - Accent1 4 2 12 2" xfId="30051"/>
    <cellStyle name="20% - Accent1 4 2 13" xfId="7932"/>
    <cellStyle name="20% - Accent1 4 2 13 2" xfId="30707"/>
    <cellStyle name="20% - Accent1 4 2 14" xfId="8588"/>
    <cellStyle name="20% - Accent1 4 2 14 2" xfId="31363"/>
    <cellStyle name="20% - Accent1 4 2 15" xfId="9244"/>
    <cellStyle name="20% - Accent1 4 2 15 2" xfId="32019"/>
    <cellStyle name="20% - Accent1 4 2 16" xfId="9900"/>
    <cellStyle name="20% - Accent1 4 2 16 2" xfId="32675"/>
    <cellStyle name="20% - Accent1 4 2 17" xfId="10556"/>
    <cellStyle name="20% - Accent1 4 2 17 2" xfId="33331"/>
    <cellStyle name="20% - Accent1 4 2 18" xfId="11212"/>
    <cellStyle name="20% - Accent1 4 2 18 2" xfId="33987"/>
    <cellStyle name="20% - Accent1 4 2 19" xfId="11868"/>
    <cellStyle name="20% - Accent1 4 2 19 2" xfId="34643"/>
    <cellStyle name="20% - Accent1 4 2 2" xfId="572"/>
    <cellStyle name="20% - Accent1 4 2 2 10" xfId="6805"/>
    <cellStyle name="20% - Accent1 4 2 2 10 2" xfId="29580"/>
    <cellStyle name="20% - Accent1 4 2 2 11" xfId="7461"/>
    <cellStyle name="20% - Accent1 4 2 2 11 2" xfId="30236"/>
    <cellStyle name="20% - Accent1 4 2 2 12" xfId="8117"/>
    <cellStyle name="20% - Accent1 4 2 2 12 2" xfId="30892"/>
    <cellStyle name="20% - Accent1 4 2 2 13" xfId="8773"/>
    <cellStyle name="20% - Accent1 4 2 2 13 2" xfId="31548"/>
    <cellStyle name="20% - Accent1 4 2 2 14" xfId="9429"/>
    <cellStyle name="20% - Accent1 4 2 2 14 2" xfId="32204"/>
    <cellStyle name="20% - Accent1 4 2 2 15" xfId="10085"/>
    <cellStyle name="20% - Accent1 4 2 2 15 2" xfId="32860"/>
    <cellStyle name="20% - Accent1 4 2 2 16" xfId="10741"/>
    <cellStyle name="20% - Accent1 4 2 2 16 2" xfId="33516"/>
    <cellStyle name="20% - Accent1 4 2 2 17" xfId="11397"/>
    <cellStyle name="20% - Accent1 4 2 2 17 2" xfId="34172"/>
    <cellStyle name="20% - Accent1 4 2 2 18" xfId="12053"/>
    <cellStyle name="20% - Accent1 4 2 2 18 2" xfId="34828"/>
    <cellStyle name="20% - Accent1 4 2 2 19" xfId="12709"/>
    <cellStyle name="20% - Accent1 4 2 2 19 2" xfId="35484"/>
    <cellStyle name="20% - Accent1 4 2 2 2" xfId="901"/>
    <cellStyle name="20% - Accent1 4 2 2 2 10" xfId="8445"/>
    <cellStyle name="20% - Accent1 4 2 2 2 10 2" xfId="31220"/>
    <cellStyle name="20% - Accent1 4 2 2 2 11" xfId="9101"/>
    <cellStyle name="20% - Accent1 4 2 2 2 11 2" xfId="31876"/>
    <cellStyle name="20% - Accent1 4 2 2 2 12" xfId="9757"/>
    <cellStyle name="20% - Accent1 4 2 2 2 12 2" xfId="32532"/>
    <cellStyle name="20% - Accent1 4 2 2 2 13" xfId="10413"/>
    <cellStyle name="20% - Accent1 4 2 2 2 13 2" xfId="33188"/>
    <cellStyle name="20% - Accent1 4 2 2 2 14" xfId="11069"/>
    <cellStyle name="20% - Accent1 4 2 2 2 14 2" xfId="33844"/>
    <cellStyle name="20% - Accent1 4 2 2 2 15" xfId="11725"/>
    <cellStyle name="20% - Accent1 4 2 2 2 15 2" xfId="34500"/>
    <cellStyle name="20% - Accent1 4 2 2 2 16" xfId="12381"/>
    <cellStyle name="20% - Accent1 4 2 2 2 16 2" xfId="35156"/>
    <cellStyle name="20% - Accent1 4 2 2 2 17" xfId="13037"/>
    <cellStyle name="20% - Accent1 4 2 2 2 17 2" xfId="35812"/>
    <cellStyle name="20% - Accent1 4 2 2 2 18" xfId="13693"/>
    <cellStyle name="20% - Accent1 4 2 2 2 18 2" xfId="36468"/>
    <cellStyle name="20% - Accent1 4 2 2 2 19" xfId="14349"/>
    <cellStyle name="20% - Accent1 4 2 2 2 19 2" xfId="37124"/>
    <cellStyle name="20% - Accent1 4 2 2 2 2" xfId="1557"/>
    <cellStyle name="20% - Accent1 4 2 2 2 2 2" xfId="3853"/>
    <cellStyle name="20% - Accent1 4 2 2 2 2 2 2" xfId="26628"/>
    <cellStyle name="20% - Accent1 4 2 2 2 2 3" xfId="24332"/>
    <cellStyle name="20% - Accent1 4 2 2 2 20" xfId="15005"/>
    <cellStyle name="20% - Accent1 4 2 2 2 20 2" xfId="37780"/>
    <cellStyle name="20% - Accent1 4 2 2 2 21" xfId="15661"/>
    <cellStyle name="20% - Accent1 4 2 2 2 21 2" xfId="38436"/>
    <cellStyle name="20% - Accent1 4 2 2 2 22" xfId="16317"/>
    <cellStyle name="20% - Accent1 4 2 2 2 22 2" xfId="39092"/>
    <cellStyle name="20% - Accent1 4 2 2 2 23" xfId="16973"/>
    <cellStyle name="20% - Accent1 4 2 2 2 23 2" xfId="39748"/>
    <cellStyle name="20% - Accent1 4 2 2 2 24" xfId="17629"/>
    <cellStyle name="20% - Accent1 4 2 2 2 24 2" xfId="40404"/>
    <cellStyle name="20% - Accent1 4 2 2 2 25" xfId="18285"/>
    <cellStyle name="20% - Accent1 4 2 2 2 25 2" xfId="41060"/>
    <cellStyle name="20% - Accent1 4 2 2 2 26" xfId="18941"/>
    <cellStyle name="20% - Accent1 4 2 2 2 26 2" xfId="41716"/>
    <cellStyle name="20% - Accent1 4 2 2 2 27" xfId="19597"/>
    <cellStyle name="20% - Accent1 4 2 2 2 27 2" xfId="42372"/>
    <cellStyle name="20% - Accent1 4 2 2 2 28" xfId="20253"/>
    <cellStyle name="20% - Accent1 4 2 2 2 28 2" xfId="43028"/>
    <cellStyle name="20% - Accent1 4 2 2 2 29" xfId="20909"/>
    <cellStyle name="20% - Accent1 4 2 2 2 29 2" xfId="43684"/>
    <cellStyle name="20% - Accent1 4 2 2 2 3" xfId="2213"/>
    <cellStyle name="20% - Accent1 4 2 2 2 3 2" xfId="4509"/>
    <cellStyle name="20% - Accent1 4 2 2 2 3 2 2" xfId="27284"/>
    <cellStyle name="20% - Accent1 4 2 2 2 3 3" xfId="24988"/>
    <cellStyle name="20% - Accent1 4 2 2 2 30" xfId="21565"/>
    <cellStyle name="20% - Accent1 4 2 2 2 30 2" xfId="44340"/>
    <cellStyle name="20% - Accent1 4 2 2 2 31" xfId="22221"/>
    <cellStyle name="20% - Accent1 4 2 2 2 31 2" xfId="44996"/>
    <cellStyle name="20% - Accent1 4 2 2 2 32" xfId="22877"/>
    <cellStyle name="20% - Accent1 4 2 2 2 32 2" xfId="45652"/>
    <cellStyle name="20% - Accent1 4 2 2 2 33" xfId="23676"/>
    <cellStyle name="20% - Accent1 4 2 2 2 4" xfId="5165"/>
    <cellStyle name="20% - Accent1 4 2 2 2 4 2" xfId="27940"/>
    <cellStyle name="20% - Accent1 4 2 2 2 5" xfId="5821"/>
    <cellStyle name="20% - Accent1 4 2 2 2 5 2" xfId="28596"/>
    <cellStyle name="20% - Accent1 4 2 2 2 6" xfId="6477"/>
    <cellStyle name="20% - Accent1 4 2 2 2 6 2" xfId="29252"/>
    <cellStyle name="20% - Accent1 4 2 2 2 7" xfId="3197"/>
    <cellStyle name="20% - Accent1 4 2 2 2 7 2" xfId="25972"/>
    <cellStyle name="20% - Accent1 4 2 2 2 8" xfId="7133"/>
    <cellStyle name="20% - Accent1 4 2 2 2 8 2" xfId="29908"/>
    <cellStyle name="20% - Accent1 4 2 2 2 9" xfId="7789"/>
    <cellStyle name="20% - Accent1 4 2 2 2 9 2" xfId="30564"/>
    <cellStyle name="20% - Accent1 4 2 2 20" xfId="13365"/>
    <cellStyle name="20% - Accent1 4 2 2 20 2" xfId="36140"/>
    <cellStyle name="20% - Accent1 4 2 2 21" xfId="14021"/>
    <cellStyle name="20% - Accent1 4 2 2 21 2" xfId="36796"/>
    <cellStyle name="20% - Accent1 4 2 2 22" xfId="14677"/>
    <cellStyle name="20% - Accent1 4 2 2 22 2" xfId="37452"/>
    <cellStyle name="20% - Accent1 4 2 2 23" xfId="15333"/>
    <cellStyle name="20% - Accent1 4 2 2 23 2" xfId="38108"/>
    <cellStyle name="20% - Accent1 4 2 2 24" xfId="15989"/>
    <cellStyle name="20% - Accent1 4 2 2 24 2" xfId="38764"/>
    <cellStyle name="20% - Accent1 4 2 2 25" xfId="16645"/>
    <cellStyle name="20% - Accent1 4 2 2 25 2" xfId="39420"/>
    <cellStyle name="20% - Accent1 4 2 2 26" xfId="17301"/>
    <cellStyle name="20% - Accent1 4 2 2 26 2" xfId="40076"/>
    <cellStyle name="20% - Accent1 4 2 2 27" xfId="17957"/>
    <cellStyle name="20% - Accent1 4 2 2 27 2" xfId="40732"/>
    <cellStyle name="20% - Accent1 4 2 2 28" xfId="18613"/>
    <cellStyle name="20% - Accent1 4 2 2 28 2" xfId="41388"/>
    <cellStyle name="20% - Accent1 4 2 2 29" xfId="19269"/>
    <cellStyle name="20% - Accent1 4 2 2 29 2" xfId="42044"/>
    <cellStyle name="20% - Accent1 4 2 2 3" xfId="1229"/>
    <cellStyle name="20% - Accent1 4 2 2 3 2" xfId="2869"/>
    <cellStyle name="20% - Accent1 4 2 2 3 2 2" xfId="25644"/>
    <cellStyle name="20% - Accent1 4 2 2 3 3" xfId="24004"/>
    <cellStyle name="20% - Accent1 4 2 2 30" xfId="19925"/>
    <cellStyle name="20% - Accent1 4 2 2 30 2" xfId="42700"/>
    <cellStyle name="20% - Accent1 4 2 2 31" xfId="20581"/>
    <cellStyle name="20% - Accent1 4 2 2 31 2" xfId="43356"/>
    <cellStyle name="20% - Accent1 4 2 2 32" xfId="21237"/>
    <cellStyle name="20% - Accent1 4 2 2 32 2" xfId="44012"/>
    <cellStyle name="20% - Accent1 4 2 2 33" xfId="21893"/>
    <cellStyle name="20% - Accent1 4 2 2 33 2" xfId="44668"/>
    <cellStyle name="20% - Accent1 4 2 2 34" xfId="22549"/>
    <cellStyle name="20% - Accent1 4 2 2 34 2" xfId="45324"/>
    <cellStyle name="20% - Accent1 4 2 2 35" xfId="23348"/>
    <cellStyle name="20% - Accent1 4 2 2 4" xfId="1885"/>
    <cellStyle name="20% - Accent1 4 2 2 4 2" xfId="3525"/>
    <cellStyle name="20% - Accent1 4 2 2 4 2 2" xfId="26300"/>
    <cellStyle name="20% - Accent1 4 2 2 4 3" xfId="24660"/>
    <cellStyle name="20% - Accent1 4 2 2 5" xfId="4181"/>
    <cellStyle name="20% - Accent1 4 2 2 5 2" xfId="26956"/>
    <cellStyle name="20% - Accent1 4 2 2 6" xfId="4837"/>
    <cellStyle name="20% - Accent1 4 2 2 6 2" xfId="27612"/>
    <cellStyle name="20% - Accent1 4 2 2 7" xfId="5493"/>
    <cellStyle name="20% - Accent1 4 2 2 7 2" xfId="28268"/>
    <cellStyle name="20% - Accent1 4 2 2 8" xfId="6149"/>
    <cellStyle name="20% - Accent1 4 2 2 8 2" xfId="28924"/>
    <cellStyle name="20% - Accent1 4 2 2 9" xfId="2541"/>
    <cellStyle name="20% - Accent1 4 2 2 9 2" xfId="25316"/>
    <cellStyle name="20% - Accent1 4 2 20" xfId="12524"/>
    <cellStyle name="20% - Accent1 4 2 20 2" xfId="35299"/>
    <cellStyle name="20% - Accent1 4 2 21" xfId="13180"/>
    <cellStyle name="20% - Accent1 4 2 21 2" xfId="35955"/>
    <cellStyle name="20% - Accent1 4 2 22" xfId="13836"/>
    <cellStyle name="20% - Accent1 4 2 22 2" xfId="36611"/>
    <cellStyle name="20% - Accent1 4 2 23" xfId="14492"/>
    <cellStyle name="20% - Accent1 4 2 23 2" xfId="37267"/>
    <cellStyle name="20% - Accent1 4 2 24" xfId="15148"/>
    <cellStyle name="20% - Accent1 4 2 24 2" xfId="37923"/>
    <cellStyle name="20% - Accent1 4 2 25" xfId="15804"/>
    <cellStyle name="20% - Accent1 4 2 25 2" xfId="38579"/>
    <cellStyle name="20% - Accent1 4 2 26" xfId="16460"/>
    <cellStyle name="20% - Accent1 4 2 26 2" xfId="39235"/>
    <cellStyle name="20% - Accent1 4 2 27" xfId="17116"/>
    <cellStyle name="20% - Accent1 4 2 27 2" xfId="39891"/>
    <cellStyle name="20% - Accent1 4 2 28" xfId="17772"/>
    <cellStyle name="20% - Accent1 4 2 28 2" xfId="40547"/>
    <cellStyle name="20% - Accent1 4 2 29" xfId="18428"/>
    <cellStyle name="20% - Accent1 4 2 29 2" xfId="41203"/>
    <cellStyle name="20% - Accent1 4 2 3" xfId="716"/>
    <cellStyle name="20% - Accent1 4 2 3 10" xfId="8260"/>
    <cellStyle name="20% - Accent1 4 2 3 10 2" xfId="31035"/>
    <cellStyle name="20% - Accent1 4 2 3 11" xfId="8916"/>
    <cellStyle name="20% - Accent1 4 2 3 11 2" xfId="31691"/>
    <cellStyle name="20% - Accent1 4 2 3 12" xfId="9572"/>
    <cellStyle name="20% - Accent1 4 2 3 12 2" xfId="32347"/>
    <cellStyle name="20% - Accent1 4 2 3 13" xfId="10228"/>
    <cellStyle name="20% - Accent1 4 2 3 13 2" xfId="33003"/>
    <cellStyle name="20% - Accent1 4 2 3 14" xfId="10884"/>
    <cellStyle name="20% - Accent1 4 2 3 14 2" xfId="33659"/>
    <cellStyle name="20% - Accent1 4 2 3 15" xfId="11540"/>
    <cellStyle name="20% - Accent1 4 2 3 15 2" xfId="34315"/>
    <cellStyle name="20% - Accent1 4 2 3 16" xfId="12196"/>
    <cellStyle name="20% - Accent1 4 2 3 16 2" xfId="34971"/>
    <cellStyle name="20% - Accent1 4 2 3 17" xfId="12852"/>
    <cellStyle name="20% - Accent1 4 2 3 17 2" xfId="35627"/>
    <cellStyle name="20% - Accent1 4 2 3 18" xfId="13508"/>
    <cellStyle name="20% - Accent1 4 2 3 18 2" xfId="36283"/>
    <cellStyle name="20% - Accent1 4 2 3 19" xfId="14164"/>
    <cellStyle name="20% - Accent1 4 2 3 19 2" xfId="36939"/>
    <cellStyle name="20% - Accent1 4 2 3 2" xfId="1372"/>
    <cellStyle name="20% - Accent1 4 2 3 2 2" xfId="3668"/>
    <cellStyle name="20% - Accent1 4 2 3 2 2 2" xfId="26443"/>
    <cellStyle name="20% - Accent1 4 2 3 2 3" xfId="24147"/>
    <cellStyle name="20% - Accent1 4 2 3 20" xfId="14820"/>
    <cellStyle name="20% - Accent1 4 2 3 20 2" xfId="37595"/>
    <cellStyle name="20% - Accent1 4 2 3 21" xfId="15476"/>
    <cellStyle name="20% - Accent1 4 2 3 21 2" xfId="38251"/>
    <cellStyle name="20% - Accent1 4 2 3 22" xfId="16132"/>
    <cellStyle name="20% - Accent1 4 2 3 22 2" xfId="38907"/>
    <cellStyle name="20% - Accent1 4 2 3 23" xfId="16788"/>
    <cellStyle name="20% - Accent1 4 2 3 23 2" xfId="39563"/>
    <cellStyle name="20% - Accent1 4 2 3 24" xfId="17444"/>
    <cellStyle name="20% - Accent1 4 2 3 24 2" xfId="40219"/>
    <cellStyle name="20% - Accent1 4 2 3 25" xfId="18100"/>
    <cellStyle name="20% - Accent1 4 2 3 25 2" xfId="40875"/>
    <cellStyle name="20% - Accent1 4 2 3 26" xfId="18756"/>
    <cellStyle name="20% - Accent1 4 2 3 26 2" xfId="41531"/>
    <cellStyle name="20% - Accent1 4 2 3 27" xfId="19412"/>
    <cellStyle name="20% - Accent1 4 2 3 27 2" xfId="42187"/>
    <cellStyle name="20% - Accent1 4 2 3 28" xfId="20068"/>
    <cellStyle name="20% - Accent1 4 2 3 28 2" xfId="42843"/>
    <cellStyle name="20% - Accent1 4 2 3 29" xfId="20724"/>
    <cellStyle name="20% - Accent1 4 2 3 29 2" xfId="43499"/>
    <cellStyle name="20% - Accent1 4 2 3 3" xfId="2028"/>
    <cellStyle name="20% - Accent1 4 2 3 3 2" xfId="4324"/>
    <cellStyle name="20% - Accent1 4 2 3 3 2 2" xfId="27099"/>
    <cellStyle name="20% - Accent1 4 2 3 3 3" xfId="24803"/>
    <cellStyle name="20% - Accent1 4 2 3 30" xfId="21380"/>
    <cellStyle name="20% - Accent1 4 2 3 30 2" xfId="44155"/>
    <cellStyle name="20% - Accent1 4 2 3 31" xfId="22036"/>
    <cellStyle name="20% - Accent1 4 2 3 31 2" xfId="44811"/>
    <cellStyle name="20% - Accent1 4 2 3 32" xfId="22692"/>
    <cellStyle name="20% - Accent1 4 2 3 32 2" xfId="45467"/>
    <cellStyle name="20% - Accent1 4 2 3 33" xfId="23491"/>
    <cellStyle name="20% - Accent1 4 2 3 4" xfId="4980"/>
    <cellStyle name="20% - Accent1 4 2 3 4 2" xfId="27755"/>
    <cellStyle name="20% - Accent1 4 2 3 5" xfId="5636"/>
    <cellStyle name="20% - Accent1 4 2 3 5 2" xfId="28411"/>
    <cellStyle name="20% - Accent1 4 2 3 6" xfId="6292"/>
    <cellStyle name="20% - Accent1 4 2 3 6 2" xfId="29067"/>
    <cellStyle name="20% - Accent1 4 2 3 7" xfId="3012"/>
    <cellStyle name="20% - Accent1 4 2 3 7 2" xfId="25787"/>
    <cellStyle name="20% - Accent1 4 2 3 8" xfId="6948"/>
    <cellStyle name="20% - Accent1 4 2 3 8 2" xfId="29723"/>
    <cellStyle name="20% - Accent1 4 2 3 9" xfId="7604"/>
    <cellStyle name="20% - Accent1 4 2 3 9 2" xfId="30379"/>
    <cellStyle name="20% - Accent1 4 2 30" xfId="19084"/>
    <cellStyle name="20% - Accent1 4 2 30 2" xfId="41859"/>
    <cellStyle name="20% - Accent1 4 2 31" xfId="19740"/>
    <cellStyle name="20% - Accent1 4 2 31 2" xfId="42515"/>
    <cellStyle name="20% - Accent1 4 2 32" xfId="20396"/>
    <cellStyle name="20% - Accent1 4 2 32 2" xfId="43171"/>
    <cellStyle name="20% - Accent1 4 2 33" xfId="21052"/>
    <cellStyle name="20% - Accent1 4 2 33 2" xfId="43827"/>
    <cellStyle name="20% - Accent1 4 2 34" xfId="21708"/>
    <cellStyle name="20% - Accent1 4 2 34 2" xfId="44483"/>
    <cellStyle name="20% - Accent1 4 2 35" xfId="22364"/>
    <cellStyle name="20% - Accent1 4 2 35 2" xfId="45139"/>
    <cellStyle name="20% - Accent1 4 2 36" xfId="23020"/>
    <cellStyle name="20% - Accent1 4 2 4" xfId="389"/>
    <cellStyle name="20% - Accent1 4 2 4 2" xfId="2684"/>
    <cellStyle name="20% - Accent1 4 2 4 2 2" xfId="25459"/>
    <cellStyle name="20% - Accent1 4 2 4 3" xfId="23163"/>
    <cellStyle name="20% - Accent1 4 2 5" xfId="1044"/>
    <cellStyle name="20% - Accent1 4 2 5 2" xfId="3340"/>
    <cellStyle name="20% - Accent1 4 2 5 2 2" xfId="26115"/>
    <cellStyle name="20% - Accent1 4 2 5 3" xfId="23819"/>
    <cellStyle name="20% - Accent1 4 2 6" xfId="1700"/>
    <cellStyle name="20% - Accent1 4 2 6 2" xfId="3996"/>
    <cellStyle name="20% - Accent1 4 2 6 2 2" xfId="26771"/>
    <cellStyle name="20% - Accent1 4 2 6 3" xfId="24475"/>
    <cellStyle name="20% - Accent1 4 2 7" xfId="4652"/>
    <cellStyle name="20% - Accent1 4 2 7 2" xfId="27427"/>
    <cellStyle name="20% - Accent1 4 2 8" xfId="5308"/>
    <cellStyle name="20% - Accent1 4 2 8 2" xfId="28083"/>
    <cellStyle name="20% - Accent1 4 2 9" xfId="5964"/>
    <cellStyle name="20% - Accent1 4 2 9 2" xfId="28739"/>
    <cellStyle name="20% - Accent1 4 20" xfId="11797"/>
    <cellStyle name="20% - Accent1 4 20 2" xfId="34572"/>
    <cellStyle name="20% - Accent1 4 21" xfId="12453"/>
    <cellStyle name="20% - Accent1 4 21 2" xfId="35228"/>
    <cellStyle name="20% - Accent1 4 22" xfId="13109"/>
    <cellStyle name="20% - Accent1 4 22 2" xfId="35884"/>
    <cellStyle name="20% - Accent1 4 23" xfId="13765"/>
    <cellStyle name="20% - Accent1 4 23 2" xfId="36540"/>
    <cellStyle name="20% - Accent1 4 24" xfId="14421"/>
    <cellStyle name="20% - Accent1 4 24 2" xfId="37196"/>
    <cellStyle name="20% - Accent1 4 25" xfId="15077"/>
    <cellStyle name="20% - Accent1 4 25 2" xfId="37852"/>
    <cellStyle name="20% - Accent1 4 26" xfId="15733"/>
    <cellStyle name="20% - Accent1 4 26 2" xfId="38508"/>
    <cellStyle name="20% - Accent1 4 27" xfId="16389"/>
    <cellStyle name="20% - Accent1 4 27 2" xfId="39164"/>
    <cellStyle name="20% - Accent1 4 28" xfId="17045"/>
    <cellStyle name="20% - Accent1 4 28 2" xfId="39820"/>
    <cellStyle name="20% - Accent1 4 29" xfId="17701"/>
    <cellStyle name="20% - Accent1 4 29 2" xfId="40476"/>
    <cellStyle name="20% - Accent1 4 3" xfId="502"/>
    <cellStyle name="20% - Accent1 4 3 10" xfId="6734"/>
    <cellStyle name="20% - Accent1 4 3 10 2" xfId="29509"/>
    <cellStyle name="20% - Accent1 4 3 11" xfId="7390"/>
    <cellStyle name="20% - Accent1 4 3 11 2" xfId="30165"/>
    <cellStyle name="20% - Accent1 4 3 12" xfId="8046"/>
    <cellStyle name="20% - Accent1 4 3 12 2" xfId="30821"/>
    <cellStyle name="20% - Accent1 4 3 13" xfId="8702"/>
    <cellStyle name="20% - Accent1 4 3 13 2" xfId="31477"/>
    <cellStyle name="20% - Accent1 4 3 14" xfId="9358"/>
    <cellStyle name="20% - Accent1 4 3 14 2" xfId="32133"/>
    <cellStyle name="20% - Accent1 4 3 15" xfId="10014"/>
    <cellStyle name="20% - Accent1 4 3 15 2" xfId="32789"/>
    <cellStyle name="20% - Accent1 4 3 16" xfId="10670"/>
    <cellStyle name="20% - Accent1 4 3 16 2" xfId="33445"/>
    <cellStyle name="20% - Accent1 4 3 17" xfId="11326"/>
    <cellStyle name="20% - Accent1 4 3 17 2" xfId="34101"/>
    <cellStyle name="20% - Accent1 4 3 18" xfId="11982"/>
    <cellStyle name="20% - Accent1 4 3 18 2" xfId="34757"/>
    <cellStyle name="20% - Accent1 4 3 19" xfId="12638"/>
    <cellStyle name="20% - Accent1 4 3 19 2" xfId="35413"/>
    <cellStyle name="20% - Accent1 4 3 2" xfId="830"/>
    <cellStyle name="20% - Accent1 4 3 2 10" xfId="8374"/>
    <cellStyle name="20% - Accent1 4 3 2 10 2" xfId="31149"/>
    <cellStyle name="20% - Accent1 4 3 2 11" xfId="9030"/>
    <cellStyle name="20% - Accent1 4 3 2 11 2" xfId="31805"/>
    <cellStyle name="20% - Accent1 4 3 2 12" xfId="9686"/>
    <cellStyle name="20% - Accent1 4 3 2 12 2" xfId="32461"/>
    <cellStyle name="20% - Accent1 4 3 2 13" xfId="10342"/>
    <cellStyle name="20% - Accent1 4 3 2 13 2" xfId="33117"/>
    <cellStyle name="20% - Accent1 4 3 2 14" xfId="10998"/>
    <cellStyle name="20% - Accent1 4 3 2 14 2" xfId="33773"/>
    <cellStyle name="20% - Accent1 4 3 2 15" xfId="11654"/>
    <cellStyle name="20% - Accent1 4 3 2 15 2" xfId="34429"/>
    <cellStyle name="20% - Accent1 4 3 2 16" xfId="12310"/>
    <cellStyle name="20% - Accent1 4 3 2 16 2" xfId="35085"/>
    <cellStyle name="20% - Accent1 4 3 2 17" xfId="12966"/>
    <cellStyle name="20% - Accent1 4 3 2 17 2" xfId="35741"/>
    <cellStyle name="20% - Accent1 4 3 2 18" xfId="13622"/>
    <cellStyle name="20% - Accent1 4 3 2 18 2" xfId="36397"/>
    <cellStyle name="20% - Accent1 4 3 2 19" xfId="14278"/>
    <cellStyle name="20% - Accent1 4 3 2 19 2" xfId="37053"/>
    <cellStyle name="20% - Accent1 4 3 2 2" xfId="1486"/>
    <cellStyle name="20% - Accent1 4 3 2 2 2" xfId="3782"/>
    <cellStyle name="20% - Accent1 4 3 2 2 2 2" xfId="26557"/>
    <cellStyle name="20% - Accent1 4 3 2 2 3" xfId="24261"/>
    <cellStyle name="20% - Accent1 4 3 2 20" xfId="14934"/>
    <cellStyle name="20% - Accent1 4 3 2 20 2" xfId="37709"/>
    <cellStyle name="20% - Accent1 4 3 2 21" xfId="15590"/>
    <cellStyle name="20% - Accent1 4 3 2 21 2" xfId="38365"/>
    <cellStyle name="20% - Accent1 4 3 2 22" xfId="16246"/>
    <cellStyle name="20% - Accent1 4 3 2 22 2" xfId="39021"/>
    <cellStyle name="20% - Accent1 4 3 2 23" xfId="16902"/>
    <cellStyle name="20% - Accent1 4 3 2 23 2" xfId="39677"/>
    <cellStyle name="20% - Accent1 4 3 2 24" xfId="17558"/>
    <cellStyle name="20% - Accent1 4 3 2 24 2" xfId="40333"/>
    <cellStyle name="20% - Accent1 4 3 2 25" xfId="18214"/>
    <cellStyle name="20% - Accent1 4 3 2 25 2" xfId="40989"/>
    <cellStyle name="20% - Accent1 4 3 2 26" xfId="18870"/>
    <cellStyle name="20% - Accent1 4 3 2 26 2" xfId="41645"/>
    <cellStyle name="20% - Accent1 4 3 2 27" xfId="19526"/>
    <cellStyle name="20% - Accent1 4 3 2 27 2" xfId="42301"/>
    <cellStyle name="20% - Accent1 4 3 2 28" xfId="20182"/>
    <cellStyle name="20% - Accent1 4 3 2 28 2" xfId="42957"/>
    <cellStyle name="20% - Accent1 4 3 2 29" xfId="20838"/>
    <cellStyle name="20% - Accent1 4 3 2 29 2" xfId="43613"/>
    <cellStyle name="20% - Accent1 4 3 2 3" xfId="2142"/>
    <cellStyle name="20% - Accent1 4 3 2 3 2" xfId="4438"/>
    <cellStyle name="20% - Accent1 4 3 2 3 2 2" xfId="27213"/>
    <cellStyle name="20% - Accent1 4 3 2 3 3" xfId="24917"/>
    <cellStyle name="20% - Accent1 4 3 2 30" xfId="21494"/>
    <cellStyle name="20% - Accent1 4 3 2 30 2" xfId="44269"/>
    <cellStyle name="20% - Accent1 4 3 2 31" xfId="22150"/>
    <cellStyle name="20% - Accent1 4 3 2 31 2" xfId="44925"/>
    <cellStyle name="20% - Accent1 4 3 2 32" xfId="22806"/>
    <cellStyle name="20% - Accent1 4 3 2 32 2" xfId="45581"/>
    <cellStyle name="20% - Accent1 4 3 2 33" xfId="23605"/>
    <cellStyle name="20% - Accent1 4 3 2 4" xfId="5094"/>
    <cellStyle name="20% - Accent1 4 3 2 4 2" xfId="27869"/>
    <cellStyle name="20% - Accent1 4 3 2 5" xfId="5750"/>
    <cellStyle name="20% - Accent1 4 3 2 5 2" xfId="28525"/>
    <cellStyle name="20% - Accent1 4 3 2 6" xfId="6406"/>
    <cellStyle name="20% - Accent1 4 3 2 6 2" xfId="29181"/>
    <cellStyle name="20% - Accent1 4 3 2 7" xfId="3126"/>
    <cellStyle name="20% - Accent1 4 3 2 7 2" xfId="25901"/>
    <cellStyle name="20% - Accent1 4 3 2 8" xfId="7062"/>
    <cellStyle name="20% - Accent1 4 3 2 8 2" xfId="29837"/>
    <cellStyle name="20% - Accent1 4 3 2 9" xfId="7718"/>
    <cellStyle name="20% - Accent1 4 3 2 9 2" xfId="30493"/>
    <cellStyle name="20% - Accent1 4 3 20" xfId="13294"/>
    <cellStyle name="20% - Accent1 4 3 20 2" xfId="36069"/>
    <cellStyle name="20% - Accent1 4 3 21" xfId="13950"/>
    <cellStyle name="20% - Accent1 4 3 21 2" xfId="36725"/>
    <cellStyle name="20% - Accent1 4 3 22" xfId="14606"/>
    <cellStyle name="20% - Accent1 4 3 22 2" xfId="37381"/>
    <cellStyle name="20% - Accent1 4 3 23" xfId="15262"/>
    <cellStyle name="20% - Accent1 4 3 23 2" xfId="38037"/>
    <cellStyle name="20% - Accent1 4 3 24" xfId="15918"/>
    <cellStyle name="20% - Accent1 4 3 24 2" xfId="38693"/>
    <cellStyle name="20% - Accent1 4 3 25" xfId="16574"/>
    <cellStyle name="20% - Accent1 4 3 25 2" xfId="39349"/>
    <cellStyle name="20% - Accent1 4 3 26" xfId="17230"/>
    <cellStyle name="20% - Accent1 4 3 26 2" xfId="40005"/>
    <cellStyle name="20% - Accent1 4 3 27" xfId="17886"/>
    <cellStyle name="20% - Accent1 4 3 27 2" xfId="40661"/>
    <cellStyle name="20% - Accent1 4 3 28" xfId="18542"/>
    <cellStyle name="20% - Accent1 4 3 28 2" xfId="41317"/>
    <cellStyle name="20% - Accent1 4 3 29" xfId="19198"/>
    <cellStyle name="20% - Accent1 4 3 29 2" xfId="41973"/>
    <cellStyle name="20% - Accent1 4 3 3" xfId="1158"/>
    <cellStyle name="20% - Accent1 4 3 3 2" xfId="2798"/>
    <cellStyle name="20% - Accent1 4 3 3 2 2" xfId="25573"/>
    <cellStyle name="20% - Accent1 4 3 3 3" xfId="23933"/>
    <cellStyle name="20% - Accent1 4 3 30" xfId="19854"/>
    <cellStyle name="20% - Accent1 4 3 30 2" xfId="42629"/>
    <cellStyle name="20% - Accent1 4 3 31" xfId="20510"/>
    <cellStyle name="20% - Accent1 4 3 31 2" xfId="43285"/>
    <cellStyle name="20% - Accent1 4 3 32" xfId="21166"/>
    <cellStyle name="20% - Accent1 4 3 32 2" xfId="43941"/>
    <cellStyle name="20% - Accent1 4 3 33" xfId="21822"/>
    <cellStyle name="20% - Accent1 4 3 33 2" xfId="44597"/>
    <cellStyle name="20% - Accent1 4 3 34" xfId="22478"/>
    <cellStyle name="20% - Accent1 4 3 34 2" xfId="45253"/>
    <cellStyle name="20% - Accent1 4 3 35" xfId="23277"/>
    <cellStyle name="20% - Accent1 4 3 4" xfId="1814"/>
    <cellStyle name="20% - Accent1 4 3 4 2" xfId="3454"/>
    <cellStyle name="20% - Accent1 4 3 4 2 2" xfId="26229"/>
    <cellStyle name="20% - Accent1 4 3 4 3" xfId="24589"/>
    <cellStyle name="20% - Accent1 4 3 5" xfId="4110"/>
    <cellStyle name="20% - Accent1 4 3 5 2" xfId="26885"/>
    <cellStyle name="20% - Accent1 4 3 6" xfId="4766"/>
    <cellStyle name="20% - Accent1 4 3 6 2" xfId="27541"/>
    <cellStyle name="20% - Accent1 4 3 7" xfId="5422"/>
    <cellStyle name="20% - Accent1 4 3 7 2" xfId="28197"/>
    <cellStyle name="20% - Accent1 4 3 8" xfId="6078"/>
    <cellStyle name="20% - Accent1 4 3 8 2" xfId="28853"/>
    <cellStyle name="20% - Accent1 4 3 9" xfId="2470"/>
    <cellStyle name="20% - Accent1 4 3 9 2" xfId="25245"/>
    <cellStyle name="20% - Accent1 4 30" xfId="18357"/>
    <cellStyle name="20% - Accent1 4 30 2" xfId="41132"/>
    <cellStyle name="20% - Accent1 4 31" xfId="19013"/>
    <cellStyle name="20% - Accent1 4 31 2" xfId="41788"/>
    <cellStyle name="20% - Accent1 4 32" xfId="19669"/>
    <cellStyle name="20% - Accent1 4 32 2" xfId="42444"/>
    <cellStyle name="20% - Accent1 4 33" xfId="20325"/>
    <cellStyle name="20% - Accent1 4 33 2" xfId="43100"/>
    <cellStyle name="20% - Accent1 4 34" xfId="20981"/>
    <cellStyle name="20% - Accent1 4 34 2" xfId="43756"/>
    <cellStyle name="20% - Accent1 4 35" xfId="21637"/>
    <cellStyle name="20% - Accent1 4 35 2" xfId="44412"/>
    <cellStyle name="20% - Accent1 4 36" xfId="22293"/>
    <cellStyle name="20% - Accent1 4 36 2" xfId="45068"/>
    <cellStyle name="20% - Accent1 4 37" xfId="232"/>
    <cellStyle name="20% - Accent1 4 38" xfId="22949"/>
    <cellStyle name="20% - Accent1 4 4" xfId="645"/>
    <cellStyle name="20% - Accent1 4 4 10" xfId="8189"/>
    <cellStyle name="20% - Accent1 4 4 10 2" xfId="30964"/>
    <cellStyle name="20% - Accent1 4 4 11" xfId="8845"/>
    <cellStyle name="20% - Accent1 4 4 11 2" xfId="31620"/>
    <cellStyle name="20% - Accent1 4 4 12" xfId="9501"/>
    <cellStyle name="20% - Accent1 4 4 12 2" xfId="32276"/>
    <cellStyle name="20% - Accent1 4 4 13" xfId="10157"/>
    <cellStyle name="20% - Accent1 4 4 13 2" xfId="32932"/>
    <cellStyle name="20% - Accent1 4 4 14" xfId="10813"/>
    <cellStyle name="20% - Accent1 4 4 14 2" xfId="33588"/>
    <cellStyle name="20% - Accent1 4 4 15" xfId="11469"/>
    <cellStyle name="20% - Accent1 4 4 15 2" xfId="34244"/>
    <cellStyle name="20% - Accent1 4 4 16" xfId="12125"/>
    <cellStyle name="20% - Accent1 4 4 16 2" xfId="34900"/>
    <cellStyle name="20% - Accent1 4 4 17" xfId="12781"/>
    <cellStyle name="20% - Accent1 4 4 17 2" xfId="35556"/>
    <cellStyle name="20% - Accent1 4 4 18" xfId="13437"/>
    <cellStyle name="20% - Accent1 4 4 18 2" xfId="36212"/>
    <cellStyle name="20% - Accent1 4 4 19" xfId="14093"/>
    <cellStyle name="20% - Accent1 4 4 19 2" xfId="36868"/>
    <cellStyle name="20% - Accent1 4 4 2" xfId="1301"/>
    <cellStyle name="20% - Accent1 4 4 2 2" xfId="3597"/>
    <cellStyle name="20% - Accent1 4 4 2 2 2" xfId="26372"/>
    <cellStyle name="20% - Accent1 4 4 2 3" xfId="24076"/>
    <cellStyle name="20% - Accent1 4 4 20" xfId="14749"/>
    <cellStyle name="20% - Accent1 4 4 20 2" xfId="37524"/>
    <cellStyle name="20% - Accent1 4 4 21" xfId="15405"/>
    <cellStyle name="20% - Accent1 4 4 21 2" xfId="38180"/>
    <cellStyle name="20% - Accent1 4 4 22" xfId="16061"/>
    <cellStyle name="20% - Accent1 4 4 22 2" xfId="38836"/>
    <cellStyle name="20% - Accent1 4 4 23" xfId="16717"/>
    <cellStyle name="20% - Accent1 4 4 23 2" xfId="39492"/>
    <cellStyle name="20% - Accent1 4 4 24" xfId="17373"/>
    <cellStyle name="20% - Accent1 4 4 24 2" xfId="40148"/>
    <cellStyle name="20% - Accent1 4 4 25" xfId="18029"/>
    <cellStyle name="20% - Accent1 4 4 25 2" xfId="40804"/>
    <cellStyle name="20% - Accent1 4 4 26" xfId="18685"/>
    <cellStyle name="20% - Accent1 4 4 26 2" xfId="41460"/>
    <cellStyle name="20% - Accent1 4 4 27" xfId="19341"/>
    <cellStyle name="20% - Accent1 4 4 27 2" xfId="42116"/>
    <cellStyle name="20% - Accent1 4 4 28" xfId="19997"/>
    <cellStyle name="20% - Accent1 4 4 28 2" xfId="42772"/>
    <cellStyle name="20% - Accent1 4 4 29" xfId="20653"/>
    <cellStyle name="20% - Accent1 4 4 29 2" xfId="43428"/>
    <cellStyle name="20% - Accent1 4 4 3" xfId="1957"/>
    <cellStyle name="20% - Accent1 4 4 3 2" xfId="4253"/>
    <cellStyle name="20% - Accent1 4 4 3 2 2" xfId="27028"/>
    <cellStyle name="20% - Accent1 4 4 3 3" xfId="24732"/>
    <cellStyle name="20% - Accent1 4 4 30" xfId="21309"/>
    <cellStyle name="20% - Accent1 4 4 30 2" xfId="44084"/>
    <cellStyle name="20% - Accent1 4 4 31" xfId="21965"/>
    <cellStyle name="20% - Accent1 4 4 31 2" xfId="44740"/>
    <cellStyle name="20% - Accent1 4 4 32" xfId="22621"/>
    <cellStyle name="20% - Accent1 4 4 32 2" xfId="45396"/>
    <cellStyle name="20% - Accent1 4 4 33" xfId="23420"/>
    <cellStyle name="20% - Accent1 4 4 4" xfId="4909"/>
    <cellStyle name="20% - Accent1 4 4 4 2" xfId="27684"/>
    <cellStyle name="20% - Accent1 4 4 5" xfId="5565"/>
    <cellStyle name="20% - Accent1 4 4 5 2" xfId="28340"/>
    <cellStyle name="20% - Accent1 4 4 6" xfId="6221"/>
    <cellStyle name="20% - Accent1 4 4 6 2" xfId="28996"/>
    <cellStyle name="20% - Accent1 4 4 7" xfId="2941"/>
    <cellStyle name="20% - Accent1 4 4 7 2" xfId="25716"/>
    <cellStyle name="20% - Accent1 4 4 8" xfId="6877"/>
    <cellStyle name="20% - Accent1 4 4 8 2" xfId="29652"/>
    <cellStyle name="20% - Accent1 4 4 9" xfId="7533"/>
    <cellStyle name="20% - Accent1 4 4 9 2" xfId="30308"/>
    <cellStyle name="20% - Accent1 4 5" xfId="318"/>
    <cellStyle name="20% - Accent1 4 5 2" xfId="2613"/>
    <cellStyle name="20% - Accent1 4 5 2 2" xfId="25388"/>
    <cellStyle name="20% - Accent1 4 5 3" xfId="23092"/>
    <cellStyle name="20% - Accent1 4 6" xfId="973"/>
    <cellStyle name="20% - Accent1 4 6 2" xfId="3269"/>
    <cellStyle name="20% - Accent1 4 6 2 2" xfId="26044"/>
    <cellStyle name="20% - Accent1 4 6 3" xfId="23748"/>
    <cellStyle name="20% - Accent1 4 7" xfId="1629"/>
    <cellStyle name="20% - Accent1 4 7 2" xfId="3925"/>
    <cellStyle name="20% - Accent1 4 7 2 2" xfId="26700"/>
    <cellStyle name="20% - Accent1 4 7 3" xfId="24404"/>
    <cellStyle name="20% - Accent1 4 8" xfId="4581"/>
    <cellStyle name="20% - Accent1 4 8 2" xfId="27356"/>
    <cellStyle name="20% - Accent1 4 9" xfId="5237"/>
    <cellStyle name="20% - Accent1 4 9 2" xfId="28012"/>
    <cellStyle name="20% - Accent1 40" xfId="20280"/>
    <cellStyle name="20% - Accent1 40 2" xfId="43055"/>
    <cellStyle name="20% - Accent1 41" xfId="20936"/>
    <cellStyle name="20% - Accent1 41 2" xfId="43711"/>
    <cellStyle name="20% - Accent1 42" xfId="21592"/>
    <cellStyle name="20% - Accent1 42 2" xfId="44367"/>
    <cellStyle name="20% - Accent1 43" xfId="22248"/>
    <cellStyle name="20% - Accent1 43 2" xfId="45023"/>
    <cellStyle name="20% - Accent1 44" xfId="187"/>
    <cellStyle name="20% - Accent1 45" xfId="22904"/>
    <cellStyle name="20% - Accent1 5" xfId="101"/>
    <cellStyle name="20% - Accent1 5 10" xfId="5907"/>
    <cellStyle name="20% - Accent1 5 10 2" xfId="28682"/>
    <cellStyle name="20% - Accent1 5 11" xfId="2299"/>
    <cellStyle name="20% - Accent1 5 11 2" xfId="25074"/>
    <cellStyle name="20% - Accent1 5 12" xfId="6563"/>
    <cellStyle name="20% - Accent1 5 12 2" xfId="29338"/>
    <cellStyle name="20% - Accent1 5 13" xfId="7219"/>
    <cellStyle name="20% - Accent1 5 13 2" xfId="29994"/>
    <cellStyle name="20% - Accent1 5 14" xfId="7875"/>
    <cellStyle name="20% - Accent1 5 14 2" xfId="30650"/>
    <cellStyle name="20% - Accent1 5 15" xfId="8531"/>
    <cellStyle name="20% - Accent1 5 15 2" xfId="31306"/>
    <cellStyle name="20% - Accent1 5 16" xfId="9187"/>
    <cellStyle name="20% - Accent1 5 16 2" xfId="31962"/>
    <cellStyle name="20% - Accent1 5 17" xfId="9843"/>
    <cellStyle name="20% - Accent1 5 17 2" xfId="32618"/>
    <cellStyle name="20% - Accent1 5 18" xfId="10499"/>
    <cellStyle name="20% - Accent1 5 18 2" xfId="33274"/>
    <cellStyle name="20% - Accent1 5 19" xfId="11155"/>
    <cellStyle name="20% - Accent1 5 19 2" xfId="33930"/>
    <cellStyle name="20% - Accent1 5 2" xfId="172"/>
    <cellStyle name="20% - Accent1 5 2 10" xfId="2370"/>
    <cellStyle name="20% - Accent1 5 2 10 2" xfId="25145"/>
    <cellStyle name="20% - Accent1 5 2 11" xfId="6634"/>
    <cellStyle name="20% - Accent1 5 2 11 2" xfId="29409"/>
    <cellStyle name="20% - Accent1 5 2 12" xfId="7290"/>
    <cellStyle name="20% - Accent1 5 2 12 2" xfId="30065"/>
    <cellStyle name="20% - Accent1 5 2 13" xfId="7946"/>
    <cellStyle name="20% - Accent1 5 2 13 2" xfId="30721"/>
    <cellStyle name="20% - Accent1 5 2 14" xfId="8602"/>
    <cellStyle name="20% - Accent1 5 2 14 2" xfId="31377"/>
    <cellStyle name="20% - Accent1 5 2 15" xfId="9258"/>
    <cellStyle name="20% - Accent1 5 2 15 2" xfId="32033"/>
    <cellStyle name="20% - Accent1 5 2 16" xfId="9914"/>
    <cellStyle name="20% - Accent1 5 2 16 2" xfId="32689"/>
    <cellStyle name="20% - Accent1 5 2 17" xfId="10570"/>
    <cellStyle name="20% - Accent1 5 2 17 2" xfId="33345"/>
    <cellStyle name="20% - Accent1 5 2 18" xfId="11226"/>
    <cellStyle name="20% - Accent1 5 2 18 2" xfId="34001"/>
    <cellStyle name="20% - Accent1 5 2 19" xfId="11882"/>
    <cellStyle name="20% - Accent1 5 2 19 2" xfId="34657"/>
    <cellStyle name="20% - Accent1 5 2 2" xfId="586"/>
    <cellStyle name="20% - Accent1 5 2 2 10" xfId="6819"/>
    <cellStyle name="20% - Accent1 5 2 2 10 2" xfId="29594"/>
    <cellStyle name="20% - Accent1 5 2 2 11" xfId="7475"/>
    <cellStyle name="20% - Accent1 5 2 2 11 2" xfId="30250"/>
    <cellStyle name="20% - Accent1 5 2 2 12" xfId="8131"/>
    <cellStyle name="20% - Accent1 5 2 2 12 2" xfId="30906"/>
    <cellStyle name="20% - Accent1 5 2 2 13" xfId="8787"/>
    <cellStyle name="20% - Accent1 5 2 2 13 2" xfId="31562"/>
    <cellStyle name="20% - Accent1 5 2 2 14" xfId="9443"/>
    <cellStyle name="20% - Accent1 5 2 2 14 2" xfId="32218"/>
    <cellStyle name="20% - Accent1 5 2 2 15" xfId="10099"/>
    <cellStyle name="20% - Accent1 5 2 2 15 2" xfId="32874"/>
    <cellStyle name="20% - Accent1 5 2 2 16" xfId="10755"/>
    <cellStyle name="20% - Accent1 5 2 2 16 2" xfId="33530"/>
    <cellStyle name="20% - Accent1 5 2 2 17" xfId="11411"/>
    <cellStyle name="20% - Accent1 5 2 2 17 2" xfId="34186"/>
    <cellStyle name="20% - Accent1 5 2 2 18" xfId="12067"/>
    <cellStyle name="20% - Accent1 5 2 2 18 2" xfId="34842"/>
    <cellStyle name="20% - Accent1 5 2 2 19" xfId="12723"/>
    <cellStyle name="20% - Accent1 5 2 2 19 2" xfId="35498"/>
    <cellStyle name="20% - Accent1 5 2 2 2" xfId="915"/>
    <cellStyle name="20% - Accent1 5 2 2 2 10" xfId="8459"/>
    <cellStyle name="20% - Accent1 5 2 2 2 10 2" xfId="31234"/>
    <cellStyle name="20% - Accent1 5 2 2 2 11" xfId="9115"/>
    <cellStyle name="20% - Accent1 5 2 2 2 11 2" xfId="31890"/>
    <cellStyle name="20% - Accent1 5 2 2 2 12" xfId="9771"/>
    <cellStyle name="20% - Accent1 5 2 2 2 12 2" xfId="32546"/>
    <cellStyle name="20% - Accent1 5 2 2 2 13" xfId="10427"/>
    <cellStyle name="20% - Accent1 5 2 2 2 13 2" xfId="33202"/>
    <cellStyle name="20% - Accent1 5 2 2 2 14" xfId="11083"/>
    <cellStyle name="20% - Accent1 5 2 2 2 14 2" xfId="33858"/>
    <cellStyle name="20% - Accent1 5 2 2 2 15" xfId="11739"/>
    <cellStyle name="20% - Accent1 5 2 2 2 15 2" xfId="34514"/>
    <cellStyle name="20% - Accent1 5 2 2 2 16" xfId="12395"/>
    <cellStyle name="20% - Accent1 5 2 2 2 16 2" xfId="35170"/>
    <cellStyle name="20% - Accent1 5 2 2 2 17" xfId="13051"/>
    <cellStyle name="20% - Accent1 5 2 2 2 17 2" xfId="35826"/>
    <cellStyle name="20% - Accent1 5 2 2 2 18" xfId="13707"/>
    <cellStyle name="20% - Accent1 5 2 2 2 18 2" xfId="36482"/>
    <cellStyle name="20% - Accent1 5 2 2 2 19" xfId="14363"/>
    <cellStyle name="20% - Accent1 5 2 2 2 19 2" xfId="37138"/>
    <cellStyle name="20% - Accent1 5 2 2 2 2" xfId="1571"/>
    <cellStyle name="20% - Accent1 5 2 2 2 2 2" xfId="3867"/>
    <cellStyle name="20% - Accent1 5 2 2 2 2 2 2" xfId="26642"/>
    <cellStyle name="20% - Accent1 5 2 2 2 2 3" xfId="24346"/>
    <cellStyle name="20% - Accent1 5 2 2 2 20" xfId="15019"/>
    <cellStyle name="20% - Accent1 5 2 2 2 20 2" xfId="37794"/>
    <cellStyle name="20% - Accent1 5 2 2 2 21" xfId="15675"/>
    <cellStyle name="20% - Accent1 5 2 2 2 21 2" xfId="38450"/>
    <cellStyle name="20% - Accent1 5 2 2 2 22" xfId="16331"/>
    <cellStyle name="20% - Accent1 5 2 2 2 22 2" xfId="39106"/>
    <cellStyle name="20% - Accent1 5 2 2 2 23" xfId="16987"/>
    <cellStyle name="20% - Accent1 5 2 2 2 23 2" xfId="39762"/>
    <cellStyle name="20% - Accent1 5 2 2 2 24" xfId="17643"/>
    <cellStyle name="20% - Accent1 5 2 2 2 24 2" xfId="40418"/>
    <cellStyle name="20% - Accent1 5 2 2 2 25" xfId="18299"/>
    <cellStyle name="20% - Accent1 5 2 2 2 25 2" xfId="41074"/>
    <cellStyle name="20% - Accent1 5 2 2 2 26" xfId="18955"/>
    <cellStyle name="20% - Accent1 5 2 2 2 26 2" xfId="41730"/>
    <cellStyle name="20% - Accent1 5 2 2 2 27" xfId="19611"/>
    <cellStyle name="20% - Accent1 5 2 2 2 27 2" xfId="42386"/>
    <cellStyle name="20% - Accent1 5 2 2 2 28" xfId="20267"/>
    <cellStyle name="20% - Accent1 5 2 2 2 28 2" xfId="43042"/>
    <cellStyle name="20% - Accent1 5 2 2 2 29" xfId="20923"/>
    <cellStyle name="20% - Accent1 5 2 2 2 29 2" xfId="43698"/>
    <cellStyle name="20% - Accent1 5 2 2 2 3" xfId="2227"/>
    <cellStyle name="20% - Accent1 5 2 2 2 3 2" xfId="4523"/>
    <cellStyle name="20% - Accent1 5 2 2 2 3 2 2" xfId="27298"/>
    <cellStyle name="20% - Accent1 5 2 2 2 3 3" xfId="25002"/>
    <cellStyle name="20% - Accent1 5 2 2 2 30" xfId="21579"/>
    <cellStyle name="20% - Accent1 5 2 2 2 30 2" xfId="44354"/>
    <cellStyle name="20% - Accent1 5 2 2 2 31" xfId="22235"/>
    <cellStyle name="20% - Accent1 5 2 2 2 31 2" xfId="45010"/>
    <cellStyle name="20% - Accent1 5 2 2 2 32" xfId="22891"/>
    <cellStyle name="20% - Accent1 5 2 2 2 32 2" xfId="45666"/>
    <cellStyle name="20% - Accent1 5 2 2 2 33" xfId="23690"/>
    <cellStyle name="20% - Accent1 5 2 2 2 4" xfId="5179"/>
    <cellStyle name="20% - Accent1 5 2 2 2 4 2" xfId="27954"/>
    <cellStyle name="20% - Accent1 5 2 2 2 5" xfId="5835"/>
    <cellStyle name="20% - Accent1 5 2 2 2 5 2" xfId="28610"/>
    <cellStyle name="20% - Accent1 5 2 2 2 6" xfId="6491"/>
    <cellStyle name="20% - Accent1 5 2 2 2 6 2" xfId="29266"/>
    <cellStyle name="20% - Accent1 5 2 2 2 7" xfId="3211"/>
    <cellStyle name="20% - Accent1 5 2 2 2 7 2" xfId="25986"/>
    <cellStyle name="20% - Accent1 5 2 2 2 8" xfId="7147"/>
    <cellStyle name="20% - Accent1 5 2 2 2 8 2" xfId="29922"/>
    <cellStyle name="20% - Accent1 5 2 2 2 9" xfId="7803"/>
    <cellStyle name="20% - Accent1 5 2 2 2 9 2" xfId="30578"/>
    <cellStyle name="20% - Accent1 5 2 2 20" xfId="13379"/>
    <cellStyle name="20% - Accent1 5 2 2 20 2" xfId="36154"/>
    <cellStyle name="20% - Accent1 5 2 2 21" xfId="14035"/>
    <cellStyle name="20% - Accent1 5 2 2 21 2" xfId="36810"/>
    <cellStyle name="20% - Accent1 5 2 2 22" xfId="14691"/>
    <cellStyle name="20% - Accent1 5 2 2 22 2" xfId="37466"/>
    <cellStyle name="20% - Accent1 5 2 2 23" xfId="15347"/>
    <cellStyle name="20% - Accent1 5 2 2 23 2" xfId="38122"/>
    <cellStyle name="20% - Accent1 5 2 2 24" xfId="16003"/>
    <cellStyle name="20% - Accent1 5 2 2 24 2" xfId="38778"/>
    <cellStyle name="20% - Accent1 5 2 2 25" xfId="16659"/>
    <cellStyle name="20% - Accent1 5 2 2 25 2" xfId="39434"/>
    <cellStyle name="20% - Accent1 5 2 2 26" xfId="17315"/>
    <cellStyle name="20% - Accent1 5 2 2 26 2" xfId="40090"/>
    <cellStyle name="20% - Accent1 5 2 2 27" xfId="17971"/>
    <cellStyle name="20% - Accent1 5 2 2 27 2" xfId="40746"/>
    <cellStyle name="20% - Accent1 5 2 2 28" xfId="18627"/>
    <cellStyle name="20% - Accent1 5 2 2 28 2" xfId="41402"/>
    <cellStyle name="20% - Accent1 5 2 2 29" xfId="19283"/>
    <cellStyle name="20% - Accent1 5 2 2 29 2" xfId="42058"/>
    <cellStyle name="20% - Accent1 5 2 2 3" xfId="1243"/>
    <cellStyle name="20% - Accent1 5 2 2 3 2" xfId="2883"/>
    <cellStyle name="20% - Accent1 5 2 2 3 2 2" xfId="25658"/>
    <cellStyle name="20% - Accent1 5 2 2 3 3" xfId="24018"/>
    <cellStyle name="20% - Accent1 5 2 2 30" xfId="19939"/>
    <cellStyle name="20% - Accent1 5 2 2 30 2" xfId="42714"/>
    <cellStyle name="20% - Accent1 5 2 2 31" xfId="20595"/>
    <cellStyle name="20% - Accent1 5 2 2 31 2" xfId="43370"/>
    <cellStyle name="20% - Accent1 5 2 2 32" xfId="21251"/>
    <cellStyle name="20% - Accent1 5 2 2 32 2" xfId="44026"/>
    <cellStyle name="20% - Accent1 5 2 2 33" xfId="21907"/>
    <cellStyle name="20% - Accent1 5 2 2 33 2" xfId="44682"/>
    <cellStyle name="20% - Accent1 5 2 2 34" xfId="22563"/>
    <cellStyle name="20% - Accent1 5 2 2 34 2" xfId="45338"/>
    <cellStyle name="20% - Accent1 5 2 2 35" xfId="23362"/>
    <cellStyle name="20% - Accent1 5 2 2 4" xfId="1899"/>
    <cellStyle name="20% - Accent1 5 2 2 4 2" xfId="3539"/>
    <cellStyle name="20% - Accent1 5 2 2 4 2 2" xfId="26314"/>
    <cellStyle name="20% - Accent1 5 2 2 4 3" xfId="24674"/>
    <cellStyle name="20% - Accent1 5 2 2 5" xfId="4195"/>
    <cellStyle name="20% - Accent1 5 2 2 5 2" xfId="26970"/>
    <cellStyle name="20% - Accent1 5 2 2 6" xfId="4851"/>
    <cellStyle name="20% - Accent1 5 2 2 6 2" xfId="27626"/>
    <cellStyle name="20% - Accent1 5 2 2 7" xfId="5507"/>
    <cellStyle name="20% - Accent1 5 2 2 7 2" xfId="28282"/>
    <cellStyle name="20% - Accent1 5 2 2 8" xfId="6163"/>
    <cellStyle name="20% - Accent1 5 2 2 8 2" xfId="28938"/>
    <cellStyle name="20% - Accent1 5 2 2 9" xfId="2555"/>
    <cellStyle name="20% - Accent1 5 2 2 9 2" xfId="25330"/>
    <cellStyle name="20% - Accent1 5 2 20" xfId="12538"/>
    <cellStyle name="20% - Accent1 5 2 20 2" xfId="35313"/>
    <cellStyle name="20% - Accent1 5 2 21" xfId="13194"/>
    <cellStyle name="20% - Accent1 5 2 21 2" xfId="35969"/>
    <cellStyle name="20% - Accent1 5 2 22" xfId="13850"/>
    <cellStyle name="20% - Accent1 5 2 22 2" xfId="36625"/>
    <cellStyle name="20% - Accent1 5 2 23" xfId="14506"/>
    <cellStyle name="20% - Accent1 5 2 23 2" xfId="37281"/>
    <cellStyle name="20% - Accent1 5 2 24" xfId="15162"/>
    <cellStyle name="20% - Accent1 5 2 24 2" xfId="37937"/>
    <cellStyle name="20% - Accent1 5 2 25" xfId="15818"/>
    <cellStyle name="20% - Accent1 5 2 25 2" xfId="38593"/>
    <cellStyle name="20% - Accent1 5 2 26" xfId="16474"/>
    <cellStyle name="20% - Accent1 5 2 26 2" xfId="39249"/>
    <cellStyle name="20% - Accent1 5 2 27" xfId="17130"/>
    <cellStyle name="20% - Accent1 5 2 27 2" xfId="39905"/>
    <cellStyle name="20% - Accent1 5 2 28" xfId="17786"/>
    <cellStyle name="20% - Accent1 5 2 28 2" xfId="40561"/>
    <cellStyle name="20% - Accent1 5 2 29" xfId="18442"/>
    <cellStyle name="20% - Accent1 5 2 29 2" xfId="41217"/>
    <cellStyle name="20% - Accent1 5 2 3" xfId="730"/>
    <cellStyle name="20% - Accent1 5 2 3 10" xfId="8274"/>
    <cellStyle name="20% - Accent1 5 2 3 10 2" xfId="31049"/>
    <cellStyle name="20% - Accent1 5 2 3 11" xfId="8930"/>
    <cellStyle name="20% - Accent1 5 2 3 11 2" xfId="31705"/>
    <cellStyle name="20% - Accent1 5 2 3 12" xfId="9586"/>
    <cellStyle name="20% - Accent1 5 2 3 12 2" xfId="32361"/>
    <cellStyle name="20% - Accent1 5 2 3 13" xfId="10242"/>
    <cellStyle name="20% - Accent1 5 2 3 13 2" xfId="33017"/>
    <cellStyle name="20% - Accent1 5 2 3 14" xfId="10898"/>
    <cellStyle name="20% - Accent1 5 2 3 14 2" xfId="33673"/>
    <cellStyle name="20% - Accent1 5 2 3 15" xfId="11554"/>
    <cellStyle name="20% - Accent1 5 2 3 15 2" xfId="34329"/>
    <cellStyle name="20% - Accent1 5 2 3 16" xfId="12210"/>
    <cellStyle name="20% - Accent1 5 2 3 16 2" xfId="34985"/>
    <cellStyle name="20% - Accent1 5 2 3 17" xfId="12866"/>
    <cellStyle name="20% - Accent1 5 2 3 17 2" xfId="35641"/>
    <cellStyle name="20% - Accent1 5 2 3 18" xfId="13522"/>
    <cellStyle name="20% - Accent1 5 2 3 18 2" xfId="36297"/>
    <cellStyle name="20% - Accent1 5 2 3 19" xfId="14178"/>
    <cellStyle name="20% - Accent1 5 2 3 19 2" xfId="36953"/>
    <cellStyle name="20% - Accent1 5 2 3 2" xfId="1386"/>
    <cellStyle name="20% - Accent1 5 2 3 2 2" xfId="3682"/>
    <cellStyle name="20% - Accent1 5 2 3 2 2 2" xfId="26457"/>
    <cellStyle name="20% - Accent1 5 2 3 2 3" xfId="24161"/>
    <cellStyle name="20% - Accent1 5 2 3 20" xfId="14834"/>
    <cellStyle name="20% - Accent1 5 2 3 20 2" xfId="37609"/>
    <cellStyle name="20% - Accent1 5 2 3 21" xfId="15490"/>
    <cellStyle name="20% - Accent1 5 2 3 21 2" xfId="38265"/>
    <cellStyle name="20% - Accent1 5 2 3 22" xfId="16146"/>
    <cellStyle name="20% - Accent1 5 2 3 22 2" xfId="38921"/>
    <cellStyle name="20% - Accent1 5 2 3 23" xfId="16802"/>
    <cellStyle name="20% - Accent1 5 2 3 23 2" xfId="39577"/>
    <cellStyle name="20% - Accent1 5 2 3 24" xfId="17458"/>
    <cellStyle name="20% - Accent1 5 2 3 24 2" xfId="40233"/>
    <cellStyle name="20% - Accent1 5 2 3 25" xfId="18114"/>
    <cellStyle name="20% - Accent1 5 2 3 25 2" xfId="40889"/>
    <cellStyle name="20% - Accent1 5 2 3 26" xfId="18770"/>
    <cellStyle name="20% - Accent1 5 2 3 26 2" xfId="41545"/>
    <cellStyle name="20% - Accent1 5 2 3 27" xfId="19426"/>
    <cellStyle name="20% - Accent1 5 2 3 27 2" xfId="42201"/>
    <cellStyle name="20% - Accent1 5 2 3 28" xfId="20082"/>
    <cellStyle name="20% - Accent1 5 2 3 28 2" xfId="42857"/>
    <cellStyle name="20% - Accent1 5 2 3 29" xfId="20738"/>
    <cellStyle name="20% - Accent1 5 2 3 29 2" xfId="43513"/>
    <cellStyle name="20% - Accent1 5 2 3 3" xfId="2042"/>
    <cellStyle name="20% - Accent1 5 2 3 3 2" xfId="4338"/>
    <cellStyle name="20% - Accent1 5 2 3 3 2 2" xfId="27113"/>
    <cellStyle name="20% - Accent1 5 2 3 3 3" xfId="24817"/>
    <cellStyle name="20% - Accent1 5 2 3 30" xfId="21394"/>
    <cellStyle name="20% - Accent1 5 2 3 30 2" xfId="44169"/>
    <cellStyle name="20% - Accent1 5 2 3 31" xfId="22050"/>
    <cellStyle name="20% - Accent1 5 2 3 31 2" xfId="44825"/>
    <cellStyle name="20% - Accent1 5 2 3 32" xfId="22706"/>
    <cellStyle name="20% - Accent1 5 2 3 32 2" xfId="45481"/>
    <cellStyle name="20% - Accent1 5 2 3 33" xfId="23505"/>
    <cellStyle name="20% - Accent1 5 2 3 4" xfId="4994"/>
    <cellStyle name="20% - Accent1 5 2 3 4 2" xfId="27769"/>
    <cellStyle name="20% - Accent1 5 2 3 5" xfId="5650"/>
    <cellStyle name="20% - Accent1 5 2 3 5 2" xfId="28425"/>
    <cellStyle name="20% - Accent1 5 2 3 6" xfId="6306"/>
    <cellStyle name="20% - Accent1 5 2 3 6 2" xfId="29081"/>
    <cellStyle name="20% - Accent1 5 2 3 7" xfId="3026"/>
    <cellStyle name="20% - Accent1 5 2 3 7 2" xfId="25801"/>
    <cellStyle name="20% - Accent1 5 2 3 8" xfId="6962"/>
    <cellStyle name="20% - Accent1 5 2 3 8 2" xfId="29737"/>
    <cellStyle name="20% - Accent1 5 2 3 9" xfId="7618"/>
    <cellStyle name="20% - Accent1 5 2 3 9 2" xfId="30393"/>
    <cellStyle name="20% - Accent1 5 2 30" xfId="19098"/>
    <cellStyle name="20% - Accent1 5 2 30 2" xfId="41873"/>
    <cellStyle name="20% - Accent1 5 2 31" xfId="19754"/>
    <cellStyle name="20% - Accent1 5 2 31 2" xfId="42529"/>
    <cellStyle name="20% - Accent1 5 2 32" xfId="20410"/>
    <cellStyle name="20% - Accent1 5 2 32 2" xfId="43185"/>
    <cellStyle name="20% - Accent1 5 2 33" xfId="21066"/>
    <cellStyle name="20% - Accent1 5 2 33 2" xfId="43841"/>
    <cellStyle name="20% - Accent1 5 2 34" xfId="21722"/>
    <cellStyle name="20% - Accent1 5 2 34 2" xfId="44497"/>
    <cellStyle name="20% - Accent1 5 2 35" xfId="22378"/>
    <cellStyle name="20% - Accent1 5 2 35 2" xfId="45153"/>
    <cellStyle name="20% - Accent1 5 2 36" xfId="23034"/>
    <cellStyle name="20% - Accent1 5 2 4" xfId="403"/>
    <cellStyle name="20% - Accent1 5 2 4 2" xfId="2698"/>
    <cellStyle name="20% - Accent1 5 2 4 2 2" xfId="25473"/>
    <cellStyle name="20% - Accent1 5 2 4 3" xfId="23177"/>
    <cellStyle name="20% - Accent1 5 2 5" xfId="1058"/>
    <cellStyle name="20% - Accent1 5 2 5 2" xfId="3354"/>
    <cellStyle name="20% - Accent1 5 2 5 2 2" xfId="26129"/>
    <cellStyle name="20% - Accent1 5 2 5 3" xfId="23833"/>
    <cellStyle name="20% - Accent1 5 2 6" xfId="1714"/>
    <cellStyle name="20% - Accent1 5 2 6 2" xfId="4010"/>
    <cellStyle name="20% - Accent1 5 2 6 2 2" xfId="26785"/>
    <cellStyle name="20% - Accent1 5 2 6 3" xfId="24489"/>
    <cellStyle name="20% - Accent1 5 2 7" xfId="4666"/>
    <cellStyle name="20% - Accent1 5 2 7 2" xfId="27441"/>
    <cellStyle name="20% - Accent1 5 2 8" xfId="5322"/>
    <cellStyle name="20% - Accent1 5 2 8 2" xfId="28097"/>
    <cellStyle name="20% - Accent1 5 2 9" xfId="5978"/>
    <cellStyle name="20% - Accent1 5 2 9 2" xfId="28753"/>
    <cellStyle name="20% - Accent1 5 20" xfId="11811"/>
    <cellStyle name="20% - Accent1 5 20 2" xfId="34586"/>
    <cellStyle name="20% - Accent1 5 21" xfId="12467"/>
    <cellStyle name="20% - Accent1 5 21 2" xfId="35242"/>
    <cellStyle name="20% - Accent1 5 22" xfId="13123"/>
    <cellStyle name="20% - Accent1 5 22 2" xfId="35898"/>
    <cellStyle name="20% - Accent1 5 23" xfId="13779"/>
    <cellStyle name="20% - Accent1 5 23 2" xfId="36554"/>
    <cellStyle name="20% - Accent1 5 24" xfId="14435"/>
    <cellStyle name="20% - Accent1 5 24 2" xfId="37210"/>
    <cellStyle name="20% - Accent1 5 25" xfId="15091"/>
    <cellStyle name="20% - Accent1 5 25 2" xfId="37866"/>
    <cellStyle name="20% - Accent1 5 26" xfId="15747"/>
    <cellStyle name="20% - Accent1 5 26 2" xfId="38522"/>
    <cellStyle name="20% - Accent1 5 27" xfId="16403"/>
    <cellStyle name="20% - Accent1 5 27 2" xfId="39178"/>
    <cellStyle name="20% - Accent1 5 28" xfId="17059"/>
    <cellStyle name="20% - Accent1 5 28 2" xfId="39834"/>
    <cellStyle name="20% - Accent1 5 29" xfId="17715"/>
    <cellStyle name="20% - Accent1 5 29 2" xfId="40490"/>
    <cellStyle name="20% - Accent1 5 3" xfId="516"/>
    <cellStyle name="20% - Accent1 5 3 10" xfId="6748"/>
    <cellStyle name="20% - Accent1 5 3 10 2" xfId="29523"/>
    <cellStyle name="20% - Accent1 5 3 11" xfId="7404"/>
    <cellStyle name="20% - Accent1 5 3 11 2" xfId="30179"/>
    <cellStyle name="20% - Accent1 5 3 12" xfId="8060"/>
    <cellStyle name="20% - Accent1 5 3 12 2" xfId="30835"/>
    <cellStyle name="20% - Accent1 5 3 13" xfId="8716"/>
    <cellStyle name="20% - Accent1 5 3 13 2" xfId="31491"/>
    <cellStyle name="20% - Accent1 5 3 14" xfId="9372"/>
    <cellStyle name="20% - Accent1 5 3 14 2" xfId="32147"/>
    <cellStyle name="20% - Accent1 5 3 15" xfId="10028"/>
    <cellStyle name="20% - Accent1 5 3 15 2" xfId="32803"/>
    <cellStyle name="20% - Accent1 5 3 16" xfId="10684"/>
    <cellStyle name="20% - Accent1 5 3 16 2" xfId="33459"/>
    <cellStyle name="20% - Accent1 5 3 17" xfId="11340"/>
    <cellStyle name="20% - Accent1 5 3 17 2" xfId="34115"/>
    <cellStyle name="20% - Accent1 5 3 18" xfId="11996"/>
    <cellStyle name="20% - Accent1 5 3 18 2" xfId="34771"/>
    <cellStyle name="20% - Accent1 5 3 19" xfId="12652"/>
    <cellStyle name="20% - Accent1 5 3 19 2" xfId="35427"/>
    <cellStyle name="20% - Accent1 5 3 2" xfId="844"/>
    <cellStyle name="20% - Accent1 5 3 2 10" xfId="8388"/>
    <cellStyle name="20% - Accent1 5 3 2 10 2" xfId="31163"/>
    <cellStyle name="20% - Accent1 5 3 2 11" xfId="9044"/>
    <cellStyle name="20% - Accent1 5 3 2 11 2" xfId="31819"/>
    <cellStyle name="20% - Accent1 5 3 2 12" xfId="9700"/>
    <cellStyle name="20% - Accent1 5 3 2 12 2" xfId="32475"/>
    <cellStyle name="20% - Accent1 5 3 2 13" xfId="10356"/>
    <cellStyle name="20% - Accent1 5 3 2 13 2" xfId="33131"/>
    <cellStyle name="20% - Accent1 5 3 2 14" xfId="11012"/>
    <cellStyle name="20% - Accent1 5 3 2 14 2" xfId="33787"/>
    <cellStyle name="20% - Accent1 5 3 2 15" xfId="11668"/>
    <cellStyle name="20% - Accent1 5 3 2 15 2" xfId="34443"/>
    <cellStyle name="20% - Accent1 5 3 2 16" xfId="12324"/>
    <cellStyle name="20% - Accent1 5 3 2 16 2" xfId="35099"/>
    <cellStyle name="20% - Accent1 5 3 2 17" xfId="12980"/>
    <cellStyle name="20% - Accent1 5 3 2 17 2" xfId="35755"/>
    <cellStyle name="20% - Accent1 5 3 2 18" xfId="13636"/>
    <cellStyle name="20% - Accent1 5 3 2 18 2" xfId="36411"/>
    <cellStyle name="20% - Accent1 5 3 2 19" xfId="14292"/>
    <cellStyle name="20% - Accent1 5 3 2 19 2" xfId="37067"/>
    <cellStyle name="20% - Accent1 5 3 2 2" xfId="1500"/>
    <cellStyle name="20% - Accent1 5 3 2 2 2" xfId="3796"/>
    <cellStyle name="20% - Accent1 5 3 2 2 2 2" xfId="26571"/>
    <cellStyle name="20% - Accent1 5 3 2 2 3" xfId="24275"/>
    <cellStyle name="20% - Accent1 5 3 2 20" xfId="14948"/>
    <cellStyle name="20% - Accent1 5 3 2 20 2" xfId="37723"/>
    <cellStyle name="20% - Accent1 5 3 2 21" xfId="15604"/>
    <cellStyle name="20% - Accent1 5 3 2 21 2" xfId="38379"/>
    <cellStyle name="20% - Accent1 5 3 2 22" xfId="16260"/>
    <cellStyle name="20% - Accent1 5 3 2 22 2" xfId="39035"/>
    <cellStyle name="20% - Accent1 5 3 2 23" xfId="16916"/>
    <cellStyle name="20% - Accent1 5 3 2 23 2" xfId="39691"/>
    <cellStyle name="20% - Accent1 5 3 2 24" xfId="17572"/>
    <cellStyle name="20% - Accent1 5 3 2 24 2" xfId="40347"/>
    <cellStyle name="20% - Accent1 5 3 2 25" xfId="18228"/>
    <cellStyle name="20% - Accent1 5 3 2 25 2" xfId="41003"/>
    <cellStyle name="20% - Accent1 5 3 2 26" xfId="18884"/>
    <cellStyle name="20% - Accent1 5 3 2 26 2" xfId="41659"/>
    <cellStyle name="20% - Accent1 5 3 2 27" xfId="19540"/>
    <cellStyle name="20% - Accent1 5 3 2 27 2" xfId="42315"/>
    <cellStyle name="20% - Accent1 5 3 2 28" xfId="20196"/>
    <cellStyle name="20% - Accent1 5 3 2 28 2" xfId="42971"/>
    <cellStyle name="20% - Accent1 5 3 2 29" xfId="20852"/>
    <cellStyle name="20% - Accent1 5 3 2 29 2" xfId="43627"/>
    <cellStyle name="20% - Accent1 5 3 2 3" xfId="2156"/>
    <cellStyle name="20% - Accent1 5 3 2 3 2" xfId="4452"/>
    <cellStyle name="20% - Accent1 5 3 2 3 2 2" xfId="27227"/>
    <cellStyle name="20% - Accent1 5 3 2 3 3" xfId="24931"/>
    <cellStyle name="20% - Accent1 5 3 2 30" xfId="21508"/>
    <cellStyle name="20% - Accent1 5 3 2 30 2" xfId="44283"/>
    <cellStyle name="20% - Accent1 5 3 2 31" xfId="22164"/>
    <cellStyle name="20% - Accent1 5 3 2 31 2" xfId="44939"/>
    <cellStyle name="20% - Accent1 5 3 2 32" xfId="22820"/>
    <cellStyle name="20% - Accent1 5 3 2 32 2" xfId="45595"/>
    <cellStyle name="20% - Accent1 5 3 2 33" xfId="23619"/>
    <cellStyle name="20% - Accent1 5 3 2 4" xfId="5108"/>
    <cellStyle name="20% - Accent1 5 3 2 4 2" xfId="27883"/>
    <cellStyle name="20% - Accent1 5 3 2 5" xfId="5764"/>
    <cellStyle name="20% - Accent1 5 3 2 5 2" xfId="28539"/>
    <cellStyle name="20% - Accent1 5 3 2 6" xfId="6420"/>
    <cellStyle name="20% - Accent1 5 3 2 6 2" xfId="29195"/>
    <cellStyle name="20% - Accent1 5 3 2 7" xfId="3140"/>
    <cellStyle name="20% - Accent1 5 3 2 7 2" xfId="25915"/>
    <cellStyle name="20% - Accent1 5 3 2 8" xfId="7076"/>
    <cellStyle name="20% - Accent1 5 3 2 8 2" xfId="29851"/>
    <cellStyle name="20% - Accent1 5 3 2 9" xfId="7732"/>
    <cellStyle name="20% - Accent1 5 3 2 9 2" xfId="30507"/>
    <cellStyle name="20% - Accent1 5 3 20" xfId="13308"/>
    <cellStyle name="20% - Accent1 5 3 20 2" xfId="36083"/>
    <cellStyle name="20% - Accent1 5 3 21" xfId="13964"/>
    <cellStyle name="20% - Accent1 5 3 21 2" xfId="36739"/>
    <cellStyle name="20% - Accent1 5 3 22" xfId="14620"/>
    <cellStyle name="20% - Accent1 5 3 22 2" xfId="37395"/>
    <cellStyle name="20% - Accent1 5 3 23" xfId="15276"/>
    <cellStyle name="20% - Accent1 5 3 23 2" xfId="38051"/>
    <cellStyle name="20% - Accent1 5 3 24" xfId="15932"/>
    <cellStyle name="20% - Accent1 5 3 24 2" xfId="38707"/>
    <cellStyle name="20% - Accent1 5 3 25" xfId="16588"/>
    <cellStyle name="20% - Accent1 5 3 25 2" xfId="39363"/>
    <cellStyle name="20% - Accent1 5 3 26" xfId="17244"/>
    <cellStyle name="20% - Accent1 5 3 26 2" xfId="40019"/>
    <cellStyle name="20% - Accent1 5 3 27" xfId="17900"/>
    <cellStyle name="20% - Accent1 5 3 27 2" xfId="40675"/>
    <cellStyle name="20% - Accent1 5 3 28" xfId="18556"/>
    <cellStyle name="20% - Accent1 5 3 28 2" xfId="41331"/>
    <cellStyle name="20% - Accent1 5 3 29" xfId="19212"/>
    <cellStyle name="20% - Accent1 5 3 29 2" xfId="41987"/>
    <cellStyle name="20% - Accent1 5 3 3" xfId="1172"/>
    <cellStyle name="20% - Accent1 5 3 3 2" xfId="2812"/>
    <cellStyle name="20% - Accent1 5 3 3 2 2" xfId="25587"/>
    <cellStyle name="20% - Accent1 5 3 3 3" xfId="23947"/>
    <cellStyle name="20% - Accent1 5 3 30" xfId="19868"/>
    <cellStyle name="20% - Accent1 5 3 30 2" xfId="42643"/>
    <cellStyle name="20% - Accent1 5 3 31" xfId="20524"/>
    <cellStyle name="20% - Accent1 5 3 31 2" xfId="43299"/>
    <cellStyle name="20% - Accent1 5 3 32" xfId="21180"/>
    <cellStyle name="20% - Accent1 5 3 32 2" xfId="43955"/>
    <cellStyle name="20% - Accent1 5 3 33" xfId="21836"/>
    <cellStyle name="20% - Accent1 5 3 33 2" xfId="44611"/>
    <cellStyle name="20% - Accent1 5 3 34" xfId="22492"/>
    <cellStyle name="20% - Accent1 5 3 34 2" xfId="45267"/>
    <cellStyle name="20% - Accent1 5 3 35" xfId="23291"/>
    <cellStyle name="20% - Accent1 5 3 4" xfId="1828"/>
    <cellStyle name="20% - Accent1 5 3 4 2" xfId="3468"/>
    <cellStyle name="20% - Accent1 5 3 4 2 2" xfId="26243"/>
    <cellStyle name="20% - Accent1 5 3 4 3" xfId="24603"/>
    <cellStyle name="20% - Accent1 5 3 5" xfId="4124"/>
    <cellStyle name="20% - Accent1 5 3 5 2" xfId="26899"/>
    <cellStyle name="20% - Accent1 5 3 6" xfId="4780"/>
    <cellStyle name="20% - Accent1 5 3 6 2" xfId="27555"/>
    <cellStyle name="20% - Accent1 5 3 7" xfId="5436"/>
    <cellStyle name="20% - Accent1 5 3 7 2" xfId="28211"/>
    <cellStyle name="20% - Accent1 5 3 8" xfId="6092"/>
    <cellStyle name="20% - Accent1 5 3 8 2" xfId="28867"/>
    <cellStyle name="20% - Accent1 5 3 9" xfId="2484"/>
    <cellStyle name="20% - Accent1 5 3 9 2" xfId="25259"/>
    <cellStyle name="20% - Accent1 5 30" xfId="18371"/>
    <cellStyle name="20% - Accent1 5 30 2" xfId="41146"/>
    <cellStyle name="20% - Accent1 5 31" xfId="19027"/>
    <cellStyle name="20% - Accent1 5 31 2" xfId="41802"/>
    <cellStyle name="20% - Accent1 5 32" xfId="19683"/>
    <cellStyle name="20% - Accent1 5 32 2" xfId="42458"/>
    <cellStyle name="20% - Accent1 5 33" xfId="20339"/>
    <cellStyle name="20% - Accent1 5 33 2" xfId="43114"/>
    <cellStyle name="20% - Accent1 5 34" xfId="20995"/>
    <cellStyle name="20% - Accent1 5 34 2" xfId="43770"/>
    <cellStyle name="20% - Accent1 5 35" xfId="21651"/>
    <cellStyle name="20% - Accent1 5 35 2" xfId="44426"/>
    <cellStyle name="20% - Accent1 5 36" xfId="22307"/>
    <cellStyle name="20% - Accent1 5 36 2" xfId="45082"/>
    <cellStyle name="20% - Accent1 5 37" xfId="246"/>
    <cellStyle name="20% - Accent1 5 38" xfId="22963"/>
    <cellStyle name="20% - Accent1 5 4" xfId="659"/>
    <cellStyle name="20% - Accent1 5 4 10" xfId="8203"/>
    <cellStyle name="20% - Accent1 5 4 10 2" xfId="30978"/>
    <cellStyle name="20% - Accent1 5 4 11" xfId="8859"/>
    <cellStyle name="20% - Accent1 5 4 11 2" xfId="31634"/>
    <cellStyle name="20% - Accent1 5 4 12" xfId="9515"/>
    <cellStyle name="20% - Accent1 5 4 12 2" xfId="32290"/>
    <cellStyle name="20% - Accent1 5 4 13" xfId="10171"/>
    <cellStyle name="20% - Accent1 5 4 13 2" xfId="32946"/>
    <cellStyle name="20% - Accent1 5 4 14" xfId="10827"/>
    <cellStyle name="20% - Accent1 5 4 14 2" xfId="33602"/>
    <cellStyle name="20% - Accent1 5 4 15" xfId="11483"/>
    <cellStyle name="20% - Accent1 5 4 15 2" xfId="34258"/>
    <cellStyle name="20% - Accent1 5 4 16" xfId="12139"/>
    <cellStyle name="20% - Accent1 5 4 16 2" xfId="34914"/>
    <cellStyle name="20% - Accent1 5 4 17" xfId="12795"/>
    <cellStyle name="20% - Accent1 5 4 17 2" xfId="35570"/>
    <cellStyle name="20% - Accent1 5 4 18" xfId="13451"/>
    <cellStyle name="20% - Accent1 5 4 18 2" xfId="36226"/>
    <cellStyle name="20% - Accent1 5 4 19" xfId="14107"/>
    <cellStyle name="20% - Accent1 5 4 19 2" xfId="36882"/>
    <cellStyle name="20% - Accent1 5 4 2" xfId="1315"/>
    <cellStyle name="20% - Accent1 5 4 2 2" xfId="3611"/>
    <cellStyle name="20% - Accent1 5 4 2 2 2" xfId="26386"/>
    <cellStyle name="20% - Accent1 5 4 2 3" xfId="24090"/>
    <cellStyle name="20% - Accent1 5 4 20" xfId="14763"/>
    <cellStyle name="20% - Accent1 5 4 20 2" xfId="37538"/>
    <cellStyle name="20% - Accent1 5 4 21" xfId="15419"/>
    <cellStyle name="20% - Accent1 5 4 21 2" xfId="38194"/>
    <cellStyle name="20% - Accent1 5 4 22" xfId="16075"/>
    <cellStyle name="20% - Accent1 5 4 22 2" xfId="38850"/>
    <cellStyle name="20% - Accent1 5 4 23" xfId="16731"/>
    <cellStyle name="20% - Accent1 5 4 23 2" xfId="39506"/>
    <cellStyle name="20% - Accent1 5 4 24" xfId="17387"/>
    <cellStyle name="20% - Accent1 5 4 24 2" xfId="40162"/>
    <cellStyle name="20% - Accent1 5 4 25" xfId="18043"/>
    <cellStyle name="20% - Accent1 5 4 25 2" xfId="40818"/>
    <cellStyle name="20% - Accent1 5 4 26" xfId="18699"/>
    <cellStyle name="20% - Accent1 5 4 26 2" xfId="41474"/>
    <cellStyle name="20% - Accent1 5 4 27" xfId="19355"/>
    <cellStyle name="20% - Accent1 5 4 27 2" xfId="42130"/>
    <cellStyle name="20% - Accent1 5 4 28" xfId="20011"/>
    <cellStyle name="20% - Accent1 5 4 28 2" xfId="42786"/>
    <cellStyle name="20% - Accent1 5 4 29" xfId="20667"/>
    <cellStyle name="20% - Accent1 5 4 29 2" xfId="43442"/>
    <cellStyle name="20% - Accent1 5 4 3" xfId="1971"/>
    <cellStyle name="20% - Accent1 5 4 3 2" xfId="4267"/>
    <cellStyle name="20% - Accent1 5 4 3 2 2" xfId="27042"/>
    <cellStyle name="20% - Accent1 5 4 3 3" xfId="24746"/>
    <cellStyle name="20% - Accent1 5 4 30" xfId="21323"/>
    <cellStyle name="20% - Accent1 5 4 30 2" xfId="44098"/>
    <cellStyle name="20% - Accent1 5 4 31" xfId="21979"/>
    <cellStyle name="20% - Accent1 5 4 31 2" xfId="44754"/>
    <cellStyle name="20% - Accent1 5 4 32" xfId="22635"/>
    <cellStyle name="20% - Accent1 5 4 32 2" xfId="45410"/>
    <cellStyle name="20% - Accent1 5 4 33" xfId="23434"/>
    <cellStyle name="20% - Accent1 5 4 4" xfId="4923"/>
    <cellStyle name="20% - Accent1 5 4 4 2" xfId="27698"/>
    <cellStyle name="20% - Accent1 5 4 5" xfId="5579"/>
    <cellStyle name="20% - Accent1 5 4 5 2" xfId="28354"/>
    <cellStyle name="20% - Accent1 5 4 6" xfId="6235"/>
    <cellStyle name="20% - Accent1 5 4 6 2" xfId="29010"/>
    <cellStyle name="20% - Accent1 5 4 7" xfId="2955"/>
    <cellStyle name="20% - Accent1 5 4 7 2" xfId="25730"/>
    <cellStyle name="20% - Accent1 5 4 8" xfId="6891"/>
    <cellStyle name="20% - Accent1 5 4 8 2" xfId="29666"/>
    <cellStyle name="20% - Accent1 5 4 9" xfId="7547"/>
    <cellStyle name="20% - Accent1 5 4 9 2" xfId="30322"/>
    <cellStyle name="20% - Accent1 5 5" xfId="332"/>
    <cellStyle name="20% - Accent1 5 5 2" xfId="2627"/>
    <cellStyle name="20% - Accent1 5 5 2 2" xfId="25402"/>
    <cellStyle name="20% - Accent1 5 5 3" xfId="23106"/>
    <cellStyle name="20% - Accent1 5 6" xfId="987"/>
    <cellStyle name="20% - Accent1 5 6 2" xfId="3283"/>
    <cellStyle name="20% - Accent1 5 6 2 2" xfId="26058"/>
    <cellStyle name="20% - Accent1 5 6 3" xfId="23762"/>
    <cellStyle name="20% - Accent1 5 7" xfId="1643"/>
    <cellStyle name="20% - Accent1 5 7 2" xfId="3939"/>
    <cellStyle name="20% - Accent1 5 7 2 2" xfId="26714"/>
    <cellStyle name="20% - Accent1 5 7 3" xfId="24418"/>
    <cellStyle name="20% - Accent1 5 8" xfId="4595"/>
    <cellStyle name="20% - Accent1 5 8 2" xfId="27370"/>
    <cellStyle name="20% - Accent1 5 9" xfId="5251"/>
    <cellStyle name="20% - Accent1 5 9 2" xfId="28026"/>
    <cellStyle name="20% - Accent1 6" xfId="114"/>
    <cellStyle name="20% - Accent1 6 10" xfId="2312"/>
    <cellStyle name="20% - Accent1 6 10 2" xfId="25087"/>
    <cellStyle name="20% - Accent1 6 11" xfId="6576"/>
    <cellStyle name="20% - Accent1 6 11 2" xfId="29351"/>
    <cellStyle name="20% - Accent1 6 12" xfId="7232"/>
    <cellStyle name="20% - Accent1 6 12 2" xfId="30007"/>
    <cellStyle name="20% - Accent1 6 13" xfId="7888"/>
    <cellStyle name="20% - Accent1 6 13 2" xfId="30663"/>
    <cellStyle name="20% - Accent1 6 14" xfId="8544"/>
    <cellStyle name="20% - Accent1 6 14 2" xfId="31319"/>
    <cellStyle name="20% - Accent1 6 15" xfId="9200"/>
    <cellStyle name="20% - Accent1 6 15 2" xfId="31975"/>
    <cellStyle name="20% - Accent1 6 16" xfId="9856"/>
    <cellStyle name="20% - Accent1 6 16 2" xfId="32631"/>
    <cellStyle name="20% - Accent1 6 17" xfId="10512"/>
    <cellStyle name="20% - Accent1 6 17 2" xfId="33287"/>
    <cellStyle name="20% - Accent1 6 18" xfId="11168"/>
    <cellStyle name="20% - Accent1 6 18 2" xfId="33943"/>
    <cellStyle name="20% - Accent1 6 19" xfId="11824"/>
    <cellStyle name="20% - Accent1 6 19 2" xfId="34599"/>
    <cellStyle name="20% - Accent1 6 2" xfId="528"/>
    <cellStyle name="20% - Accent1 6 2 10" xfId="6761"/>
    <cellStyle name="20% - Accent1 6 2 10 2" xfId="29536"/>
    <cellStyle name="20% - Accent1 6 2 11" xfId="7417"/>
    <cellStyle name="20% - Accent1 6 2 11 2" xfId="30192"/>
    <cellStyle name="20% - Accent1 6 2 12" xfId="8073"/>
    <cellStyle name="20% - Accent1 6 2 12 2" xfId="30848"/>
    <cellStyle name="20% - Accent1 6 2 13" xfId="8729"/>
    <cellStyle name="20% - Accent1 6 2 13 2" xfId="31504"/>
    <cellStyle name="20% - Accent1 6 2 14" xfId="9385"/>
    <cellStyle name="20% - Accent1 6 2 14 2" xfId="32160"/>
    <cellStyle name="20% - Accent1 6 2 15" xfId="10041"/>
    <cellStyle name="20% - Accent1 6 2 15 2" xfId="32816"/>
    <cellStyle name="20% - Accent1 6 2 16" xfId="10697"/>
    <cellStyle name="20% - Accent1 6 2 16 2" xfId="33472"/>
    <cellStyle name="20% - Accent1 6 2 17" xfId="11353"/>
    <cellStyle name="20% - Accent1 6 2 17 2" xfId="34128"/>
    <cellStyle name="20% - Accent1 6 2 18" xfId="12009"/>
    <cellStyle name="20% - Accent1 6 2 18 2" xfId="34784"/>
    <cellStyle name="20% - Accent1 6 2 19" xfId="12665"/>
    <cellStyle name="20% - Accent1 6 2 19 2" xfId="35440"/>
    <cellStyle name="20% - Accent1 6 2 2" xfId="857"/>
    <cellStyle name="20% - Accent1 6 2 2 10" xfId="8401"/>
    <cellStyle name="20% - Accent1 6 2 2 10 2" xfId="31176"/>
    <cellStyle name="20% - Accent1 6 2 2 11" xfId="9057"/>
    <cellStyle name="20% - Accent1 6 2 2 11 2" xfId="31832"/>
    <cellStyle name="20% - Accent1 6 2 2 12" xfId="9713"/>
    <cellStyle name="20% - Accent1 6 2 2 12 2" xfId="32488"/>
    <cellStyle name="20% - Accent1 6 2 2 13" xfId="10369"/>
    <cellStyle name="20% - Accent1 6 2 2 13 2" xfId="33144"/>
    <cellStyle name="20% - Accent1 6 2 2 14" xfId="11025"/>
    <cellStyle name="20% - Accent1 6 2 2 14 2" xfId="33800"/>
    <cellStyle name="20% - Accent1 6 2 2 15" xfId="11681"/>
    <cellStyle name="20% - Accent1 6 2 2 15 2" xfId="34456"/>
    <cellStyle name="20% - Accent1 6 2 2 16" xfId="12337"/>
    <cellStyle name="20% - Accent1 6 2 2 16 2" xfId="35112"/>
    <cellStyle name="20% - Accent1 6 2 2 17" xfId="12993"/>
    <cellStyle name="20% - Accent1 6 2 2 17 2" xfId="35768"/>
    <cellStyle name="20% - Accent1 6 2 2 18" xfId="13649"/>
    <cellStyle name="20% - Accent1 6 2 2 18 2" xfId="36424"/>
    <cellStyle name="20% - Accent1 6 2 2 19" xfId="14305"/>
    <cellStyle name="20% - Accent1 6 2 2 19 2" xfId="37080"/>
    <cellStyle name="20% - Accent1 6 2 2 2" xfId="1513"/>
    <cellStyle name="20% - Accent1 6 2 2 2 2" xfId="3809"/>
    <cellStyle name="20% - Accent1 6 2 2 2 2 2" xfId="26584"/>
    <cellStyle name="20% - Accent1 6 2 2 2 3" xfId="24288"/>
    <cellStyle name="20% - Accent1 6 2 2 20" xfId="14961"/>
    <cellStyle name="20% - Accent1 6 2 2 20 2" xfId="37736"/>
    <cellStyle name="20% - Accent1 6 2 2 21" xfId="15617"/>
    <cellStyle name="20% - Accent1 6 2 2 21 2" xfId="38392"/>
    <cellStyle name="20% - Accent1 6 2 2 22" xfId="16273"/>
    <cellStyle name="20% - Accent1 6 2 2 22 2" xfId="39048"/>
    <cellStyle name="20% - Accent1 6 2 2 23" xfId="16929"/>
    <cellStyle name="20% - Accent1 6 2 2 23 2" xfId="39704"/>
    <cellStyle name="20% - Accent1 6 2 2 24" xfId="17585"/>
    <cellStyle name="20% - Accent1 6 2 2 24 2" xfId="40360"/>
    <cellStyle name="20% - Accent1 6 2 2 25" xfId="18241"/>
    <cellStyle name="20% - Accent1 6 2 2 25 2" xfId="41016"/>
    <cellStyle name="20% - Accent1 6 2 2 26" xfId="18897"/>
    <cellStyle name="20% - Accent1 6 2 2 26 2" xfId="41672"/>
    <cellStyle name="20% - Accent1 6 2 2 27" xfId="19553"/>
    <cellStyle name="20% - Accent1 6 2 2 27 2" xfId="42328"/>
    <cellStyle name="20% - Accent1 6 2 2 28" xfId="20209"/>
    <cellStyle name="20% - Accent1 6 2 2 28 2" xfId="42984"/>
    <cellStyle name="20% - Accent1 6 2 2 29" xfId="20865"/>
    <cellStyle name="20% - Accent1 6 2 2 29 2" xfId="43640"/>
    <cellStyle name="20% - Accent1 6 2 2 3" xfId="2169"/>
    <cellStyle name="20% - Accent1 6 2 2 3 2" xfId="4465"/>
    <cellStyle name="20% - Accent1 6 2 2 3 2 2" xfId="27240"/>
    <cellStyle name="20% - Accent1 6 2 2 3 3" xfId="24944"/>
    <cellStyle name="20% - Accent1 6 2 2 30" xfId="21521"/>
    <cellStyle name="20% - Accent1 6 2 2 30 2" xfId="44296"/>
    <cellStyle name="20% - Accent1 6 2 2 31" xfId="22177"/>
    <cellStyle name="20% - Accent1 6 2 2 31 2" xfId="44952"/>
    <cellStyle name="20% - Accent1 6 2 2 32" xfId="22833"/>
    <cellStyle name="20% - Accent1 6 2 2 32 2" xfId="45608"/>
    <cellStyle name="20% - Accent1 6 2 2 33" xfId="23632"/>
    <cellStyle name="20% - Accent1 6 2 2 4" xfId="5121"/>
    <cellStyle name="20% - Accent1 6 2 2 4 2" xfId="27896"/>
    <cellStyle name="20% - Accent1 6 2 2 5" xfId="5777"/>
    <cellStyle name="20% - Accent1 6 2 2 5 2" xfId="28552"/>
    <cellStyle name="20% - Accent1 6 2 2 6" xfId="6433"/>
    <cellStyle name="20% - Accent1 6 2 2 6 2" xfId="29208"/>
    <cellStyle name="20% - Accent1 6 2 2 7" xfId="3153"/>
    <cellStyle name="20% - Accent1 6 2 2 7 2" xfId="25928"/>
    <cellStyle name="20% - Accent1 6 2 2 8" xfId="7089"/>
    <cellStyle name="20% - Accent1 6 2 2 8 2" xfId="29864"/>
    <cellStyle name="20% - Accent1 6 2 2 9" xfId="7745"/>
    <cellStyle name="20% - Accent1 6 2 2 9 2" xfId="30520"/>
    <cellStyle name="20% - Accent1 6 2 20" xfId="13321"/>
    <cellStyle name="20% - Accent1 6 2 20 2" xfId="36096"/>
    <cellStyle name="20% - Accent1 6 2 21" xfId="13977"/>
    <cellStyle name="20% - Accent1 6 2 21 2" xfId="36752"/>
    <cellStyle name="20% - Accent1 6 2 22" xfId="14633"/>
    <cellStyle name="20% - Accent1 6 2 22 2" xfId="37408"/>
    <cellStyle name="20% - Accent1 6 2 23" xfId="15289"/>
    <cellStyle name="20% - Accent1 6 2 23 2" xfId="38064"/>
    <cellStyle name="20% - Accent1 6 2 24" xfId="15945"/>
    <cellStyle name="20% - Accent1 6 2 24 2" xfId="38720"/>
    <cellStyle name="20% - Accent1 6 2 25" xfId="16601"/>
    <cellStyle name="20% - Accent1 6 2 25 2" xfId="39376"/>
    <cellStyle name="20% - Accent1 6 2 26" xfId="17257"/>
    <cellStyle name="20% - Accent1 6 2 26 2" xfId="40032"/>
    <cellStyle name="20% - Accent1 6 2 27" xfId="17913"/>
    <cellStyle name="20% - Accent1 6 2 27 2" xfId="40688"/>
    <cellStyle name="20% - Accent1 6 2 28" xfId="18569"/>
    <cellStyle name="20% - Accent1 6 2 28 2" xfId="41344"/>
    <cellStyle name="20% - Accent1 6 2 29" xfId="19225"/>
    <cellStyle name="20% - Accent1 6 2 29 2" xfId="42000"/>
    <cellStyle name="20% - Accent1 6 2 3" xfId="1185"/>
    <cellStyle name="20% - Accent1 6 2 3 2" xfId="2825"/>
    <cellStyle name="20% - Accent1 6 2 3 2 2" xfId="25600"/>
    <cellStyle name="20% - Accent1 6 2 3 3" xfId="23960"/>
    <cellStyle name="20% - Accent1 6 2 30" xfId="19881"/>
    <cellStyle name="20% - Accent1 6 2 30 2" xfId="42656"/>
    <cellStyle name="20% - Accent1 6 2 31" xfId="20537"/>
    <cellStyle name="20% - Accent1 6 2 31 2" xfId="43312"/>
    <cellStyle name="20% - Accent1 6 2 32" xfId="21193"/>
    <cellStyle name="20% - Accent1 6 2 32 2" xfId="43968"/>
    <cellStyle name="20% - Accent1 6 2 33" xfId="21849"/>
    <cellStyle name="20% - Accent1 6 2 33 2" xfId="44624"/>
    <cellStyle name="20% - Accent1 6 2 34" xfId="22505"/>
    <cellStyle name="20% - Accent1 6 2 34 2" xfId="45280"/>
    <cellStyle name="20% - Accent1 6 2 35" xfId="23304"/>
    <cellStyle name="20% - Accent1 6 2 4" xfId="1841"/>
    <cellStyle name="20% - Accent1 6 2 4 2" xfId="3481"/>
    <cellStyle name="20% - Accent1 6 2 4 2 2" xfId="26256"/>
    <cellStyle name="20% - Accent1 6 2 4 3" xfId="24616"/>
    <cellStyle name="20% - Accent1 6 2 5" xfId="4137"/>
    <cellStyle name="20% - Accent1 6 2 5 2" xfId="26912"/>
    <cellStyle name="20% - Accent1 6 2 6" xfId="4793"/>
    <cellStyle name="20% - Accent1 6 2 6 2" xfId="27568"/>
    <cellStyle name="20% - Accent1 6 2 7" xfId="5449"/>
    <cellStyle name="20% - Accent1 6 2 7 2" xfId="28224"/>
    <cellStyle name="20% - Accent1 6 2 8" xfId="6105"/>
    <cellStyle name="20% - Accent1 6 2 8 2" xfId="28880"/>
    <cellStyle name="20% - Accent1 6 2 9" xfId="2497"/>
    <cellStyle name="20% - Accent1 6 2 9 2" xfId="25272"/>
    <cellStyle name="20% - Accent1 6 20" xfId="12480"/>
    <cellStyle name="20% - Accent1 6 20 2" xfId="35255"/>
    <cellStyle name="20% - Accent1 6 21" xfId="13136"/>
    <cellStyle name="20% - Accent1 6 21 2" xfId="35911"/>
    <cellStyle name="20% - Accent1 6 22" xfId="13792"/>
    <cellStyle name="20% - Accent1 6 22 2" xfId="36567"/>
    <cellStyle name="20% - Accent1 6 23" xfId="14448"/>
    <cellStyle name="20% - Accent1 6 23 2" xfId="37223"/>
    <cellStyle name="20% - Accent1 6 24" xfId="15104"/>
    <cellStyle name="20% - Accent1 6 24 2" xfId="37879"/>
    <cellStyle name="20% - Accent1 6 25" xfId="15760"/>
    <cellStyle name="20% - Accent1 6 25 2" xfId="38535"/>
    <cellStyle name="20% - Accent1 6 26" xfId="16416"/>
    <cellStyle name="20% - Accent1 6 26 2" xfId="39191"/>
    <cellStyle name="20% - Accent1 6 27" xfId="17072"/>
    <cellStyle name="20% - Accent1 6 27 2" xfId="39847"/>
    <cellStyle name="20% - Accent1 6 28" xfId="17728"/>
    <cellStyle name="20% - Accent1 6 28 2" xfId="40503"/>
    <cellStyle name="20% - Accent1 6 29" xfId="18384"/>
    <cellStyle name="20% - Accent1 6 29 2" xfId="41159"/>
    <cellStyle name="20% - Accent1 6 3" xfId="672"/>
    <cellStyle name="20% - Accent1 6 3 10" xfId="8216"/>
    <cellStyle name="20% - Accent1 6 3 10 2" xfId="30991"/>
    <cellStyle name="20% - Accent1 6 3 11" xfId="8872"/>
    <cellStyle name="20% - Accent1 6 3 11 2" xfId="31647"/>
    <cellStyle name="20% - Accent1 6 3 12" xfId="9528"/>
    <cellStyle name="20% - Accent1 6 3 12 2" xfId="32303"/>
    <cellStyle name="20% - Accent1 6 3 13" xfId="10184"/>
    <cellStyle name="20% - Accent1 6 3 13 2" xfId="32959"/>
    <cellStyle name="20% - Accent1 6 3 14" xfId="10840"/>
    <cellStyle name="20% - Accent1 6 3 14 2" xfId="33615"/>
    <cellStyle name="20% - Accent1 6 3 15" xfId="11496"/>
    <cellStyle name="20% - Accent1 6 3 15 2" xfId="34271"/>
    <cellStyle name="20% - Accent1 6 3 16" xfId="12152"/>
    <cellStyle name="20% - Accent1 6 3 16 2" xfId="34927"/>
    <cellStyle name="20% - Accent1 6 3 17" xfId="12808"/>
    <cellStyle name="20% - Accent1 6 3 17 2" xfId="35583"/>
    <cellStyle name="20% - Accent1 6 3 18" xfId="13464"/>
    <cellStyle name="20% - Accent1 6 3 18 2" xfId="36239"/>
    <cellStyle name="20% - Accent1 6 3 19" xfId="14120"/>
    <cellStyle name="20% - Accent1 6 3 19 2" xfId="36895"/>
    <cellStyle name="20% - Accent1 6 3 2" xfId="1328"/>
    <cellStyle name="20% - Accent1 6 3 2 2" xfId="3624"/>
    <cellStyle name="20% - Accent1 6 3 2 2 2" xfId="26399"/>
    <cellStyle name="20% - Accent1 6 3 2 3" xfId="24103"/>
    <cellStyle name="20% - Accent1 6 3 20" xfId="14776"/>
    <cellStyle name="20% - Accent1 6 3 20 2" xfId="37551"/>
    <cellStyle name="20% - Accent1 6 3 21" xfId="15432"/>
    <cellStyle name="20% - Accent1 6 3 21 2" xfId="38207"/>
    <cellStyle name="20% - Accent1 6 3 22" xfId="16088"/>
    <cellStyle name="20% - Accent1 6 3 22 2" xfId="38863"/>
    <cellStyle name="20% - Accent1 6 3 23" xfId="16744"/>
    <cellStyle name="20% - Accent1 6 3 23 2" xfId="39519"/>
    <cellStyle name="20% - Accent1 6 3 24" xfId="17400"/>
    <cellStyle name="20% - Accent1 6 3 24 2" xfId="40175"/>
    <cellStyle name="20% - Accent1 6 3 25" xfId="18056"/>
    <cellStyle name="20% - Accent1 6 3 25 2" xfId="40831"/>
    <cellStyle name="20% - Accent1 6 3 26" xfId="18712"/>
    <cellStyle name="20% - Accent1 6 3 26 2" xfId="41487"/>
    <cellStyle name="20% - Accent1 6 3 27" xfId="19368"/>
    <cellStyle name="20% - Accent1 6 3 27 2" xfId="42143"/>
    <cellStyle name="20% - Accent1 6 3 28" xfId="20024"/>
    <cellStyle name="20% - Accent1 6 3 28 2" xfId="42799"/>
    <cellStyle name="20% - Accent1 6 3 29" xfId="20680"/>
    <cellStyle name="20% - Accent1 6 3 29 2" xfId="43455"/>
    <cellStyle name="20% - Accent1 6 3 3" xfId="1984"/>
    <cellStyle name="20% - Accent1 6 3 3 2" xfId="4280"/>
    <cellStyle name="20% - Accent1 6 3 3 2 2" xfId="27055"/>
    <cellStyle name="20% - Accent1 6 3 3 3" xfId="24759"/>
    <cellStyle name="20% - Accent1 6 3 30" xfId="21336"/>
    <cellStyle name="20% - Accent1 6 3 30 2" xfId="44111"/>
    <cellStyle name="20% - Accent1 6 3 31" xfId="21992"/>
    <cellStyle name="20% - Accent1 6 3 31 2" xfId="44767"/>
    <cellStyle name="20% - Accent1 6 3 32" xfId="22648"/>
    <cellStyle name="20% - Accent1 6 3 32 2" xfId="45423"/>
    <cellStyle name="20% - Accent1 6 3 33" xfId="23447"/>
    <cellStyle name="20% - Accent1 6 3 4" xfId="4936"/>
    <cellStyle name="20% - Accent1 6 3 4 2" xfId="27711"/>
    <cellStyle name="20% - Accent1 6 3 5" xfId="5592"/>
    <cellStyle name="20% - Accent1 6 3 5 2" xfId="28367"/>
    <cellStyle name="20% - Accent1 6 3 6" xfId="6248"/>
    <cellStyle name="20% - Accent1 6 3 6 2" xfId="29023"/>
    <cellStyle name="20% - Accent1 6 3 7" xfId="2968"/>
    <cellStyle name="20% - Accent1 6 3 7 2" xfId="25743"/>
    <cellStyle name="20% - Accent1 6 3 8" xfId="6904"/>
    <cellStyle name="20% - Accent1 6 3 8 2" xfId="29679"/>
    <cellStyle name="20% - Accent1 6 3 9" xfId="7560"/>
    <cellStyle name="20% - Accent1 6 3 9 2" xfId="30335"/>
    <cellStyle name="20% - Accent1 6 30" xfId="19040"/>
    <cellStyle name="20% - Accent1 6 30 2" xfId="41815"/>
    <cellStyle name="20% - Accent1 6 31" xfId="19696"/>
    <cellStyle name="20% - Accent1 6 31 2" xfId="42471"/>
    <cellStyle name="20% - Accent1 6 32" xfId="20352"/>
    <cellStyle name="20% - Accent1 6 32 2" xfId="43127"/>
    <cellStyle name="20% - Accent1 6 33" xfId="21008"/>
    <cellStyle name="20% - Accent1 6 33 2" xfId="43783"/>
    <cellStyle name="20% - Accent1 6 34" xfId="21664"/>
    <cellStyle name="20% - Accent1 6 34 2" xfId="44439"/>
    <cellStyle name="20% - Accent1 6 35" xfId="22320"/>
    <cellStyle name="20% - Accent1 6 35 2" xfId="45095"/>
    <cellStyle name="20% - Accent1 6 36" xfId="259"/>
    <cellStyle name="20% - Accent1 6 37" xfId="22976"/>
    <cellStyle name="20% - Accent1 6 4" xfId="345"/>
    <cellStyle name="20% - Accent1 6 4 2" xfId="2640"/>
    <cellStyle name="20% - Accent1 6 4 2 2" xfId="25415"/>
    <cellStyle name="20% - Accent1 6 4 3" xfId="23119"/>
    <cellStyle name="20% - Accent1 6 5" xfId="1000"/>
    <cellStyle name="20% - Accent1 6 5 2" xfId="3296"/>
    <cellStyle name="20% - Accent1 6 5 2 2" xfId="26071"/>
    <cellStyle name="20% - Accent1 6 5 3" xfId="23775"/>
    <cellStyle name="20% - Accent1 6 6" xfId="1656"/>
    <cellStyle name="20% - Accent1 6 6 2" xfId="3952"/>
    <cellStyle name="20% - Accent1 6 6 2 2" xfId="26727"/>
    <cellStyle name="20% - Accent1 6 6 3" xfId="24431"/>
    <cellStyle name="20% - Accent1 6 7" xfId="4608"/>
    <cellStyle name="20% - Accent1 6 7 2" xfId="27383"/>
    <cellStyle name="20% - Accent1 6 8" xfId="5264"/>
    <cellStyle name="20% - Accent1 6 8 2" xfId="28039"/>
    <cellStyle name="20% - Accent1 6 9" xfId="5920"/>
    <cellStyle name="20% - Accent1 6 9 2" xfId="28695"/>
    <cellStyle name="20% - Accent1 7" xfId="418"/>
    <cellStyle name="20% - Accent1 7 10" xfId="6649"/>
    <cellStyle name="20% - Accent1 7 10 2" xfId="29424"/>
    <cellStyle name="20% - Accent1 7 11" xfId="7305"/>
    <cellStyle name="20% - Accent1 7 11 2" xfId="30080"/>
    <cellStyle name="20% - Accent1 7 12" xfId="7961"/>
    <cellStyle name="20% - Accent1 7 12 2" xfId="30736"/>
    <cellStyle name="20% - Accent1 7 13" xfId="8617"/>
    <cellStyle name="20% - Accent1 7 13 2" xfId="31392"/>
    <cellStyle name="20% - Accent1 7 14" xfId="9273"/>
    <cellStyle name="20% - Accent1 7 14 2" xfId="32048"/>
    <cellStyle name="20% - Accent1 7 15" xfId="9929"/>
    <cellStyle name="20% - Accent1 7 15 2" xfId="32704"/>
    <cellStyle name="20% - Accent1 7 16" xfId="10585"/>
    <cellStyle name="20% - Accent1 7 16 2" xfId="33360"/>
    <cellStyle name="20% - Accent1 7 17" xfId="11241"/>
    <cellStyle name="20% - Accent1 7 17 2" xfId="34016"/>
    <cellStyle name="20% - Accent1 7 18" xfId="11897"/>
    <cellStyle name="20% - Accent1 7 18 2" xfId="34672"/>
    <cellStyle name="20% - Accent1 7 19" xfId="12553"/>
    <cellStyle name="20% - Accent1 7 19 2" xfId="35328"/>
    <cellStyle name="20% - Accent1 7 2" xfId="745"/>
    <cellStyle name="20% - Accent1 7 2 10" xfId="8289"/>
    <cellStyle name="20% - Accent1 7 2 10 2" xfId="31064"/>
    <cellStyle name="20% - Accent1 7 2 11" xfId="8945"/>
    <cellStyle name="20% - Accent1 7 2 11 2" xfId="31720"/>
    <cellStyle name="20% - Accent1 7 2 12" xfId="9601"/>
    <cellStyle name="20% - Accent1 7 2 12 2" xfId="32376"/>
    <cellStyle name="20% - Accent1 7 2 13" xfId="10257"/>
    <cellStyle name="20% - Accent1 7 2 13 2" xfId="33032"/>
    <cellStyle name="20% - Accent1 7 2 14" xfId="10913"/>
    <cellStyle name="20% - Accent1 7 2 14 2" xfId="33688"/>
    <cellStyle name="20% - Accent1 7 2 15" xfId="11569"/>
    <cellStyle name="20% - Accent1 7 2 15 2" xfId="34344"/>
    <cellStyle name="20% - Accent1 7 2 16" xfId="12225"/>
    <cellStyle name="20% - Accent1 7 2 16 2" xfId="35000"/>
    <cellStyle name="20% - Accent1 7 2 17" xfId="12881"/>
    <cellStyle name="20% - Accent1 7 2 17 2" xfId="35656"/>
    <cellStyle name="20% - Accent1 7 2 18" xfId="13537"/>
    <cellStyle name="20% - Accent1 7 2 18 2" xfId="36312"/>
    <cellStyle name="20% - Accent1 7 2 19" xfId="14193"/>
    <cellStyle name="20% - Accent1 7 2 19 2" xfId="36968"/>
    <cellStyle name="20% - Accent1 7 2 2" xfId="1401"/>
    <cellStyle name="20% - Accent1 7 2 2 2" xfId="3697"/>
    <cellStyle name="20% - Accent1 7 2 2 2 2" xfId="26472"/>
    <cellStyle name="20% - Accent1 7 2 2 3" xfId="24176"/>
    <cellStyle name="20% - Accent1 7 2 20" xfId="14849"/>
    <cellStyle name="20% - Accent1 7 2 20 2" xfId="37624"/>
    <cellStyle name="20% - Accent1 7 2 21" xfId="15505"/>
    <cellStyle name="20% - Accent1 7 2 21 2" xfId="38280"/>
    <cellStyle name="20% - Accent1 7 2 22" xfId="16161"/>
    <cellStyle name="20% - Accent1 7 2 22 2" xfId="38936"/>
    <cellStyle name="20% - Accent1 7 2 23" xfId="16817"/>
    <cellStyle name="20% - Accent1 7 2 23 2" xfId="39592"/>
    <cellStyle name="20% - Accent1 7 2 24" xfId="17473"/>
    <cellStyle name="20% - Accent1 7 2 24 2" xfId="40248"/>
    <cellStyle name="20% - Accent1 7 2 25" xfId="18129"/>
    <cellStyle name="20% - Accent1 7 2 25 2" xfId="40904"/>
    <cellStyle name="20% - Accent1 7 2 26" xfId="18785"/>
    <cellStyle name="20% - Accent1 7 2 26 2" xfId="41560"/>
    <cellStyle name="20% - Accent1 7 2 27" xfId="19441"/>
    <cellStyle name="20% - Accent1 7 2 27 2" xfId="42216"/>
    <cellStyle name="20% - Accent1 7 2 28" xfId="20097"/>
    <cellStyle name="20% - Accent1 7 2 28 2" xfId="42872"/>
    <cellStyle name="20% - Accent1 7 2 29" xfId="20753"/>
    <cellStyle name="20% - Accent1 7 2 29 2" xfId="43528"/>
    <cellStyle name="20% - Accent1 7 2 3" xfId="2057"/>
    <cellStyle name="20% - Accent1 7 2 3 2" xfId="4353"/>
    <cellStyle name="20% - Accent1 7 2 3 2 2" xfId="27128"/>
    <cellStyle name="20% - Accent1 7 2 3 3" xfId="24832"/>
    <cellStyle name="20% - Accent1 7 2 30" xfId="21409"/>
    <cellStyle name="20% - Accent1 7 2 30 2" xfId="44184"/>
    <cellStyle name="20% - Accent1 7 2 31" xfId="22065"/>
    <cellStyle name="20% - Accent1 7 2 31 2" xfId="44840"/>
    <cellStyle name="20% - Accent1 7 2 32" xfId="22721"/>
    <cellStyle name="20% - Accent1 7 2 32 2" xfId="45496"/>
    <cellStyle name="20% - Accent1 7 2 33" xfId="23520"/>
    <cellStyle name="20% - Accent1 7 2 4" xfId="5009"/>
    <cellStyle name="20% - Accent1 7 2 4 2" xfId="27784"/>
    <cellStyle name="20% - Accent1 7 2 5" xfId="5665"/>
    <cellStyle name="20% - Accent1 7 2 5 2" xfId="28440"/>
    <cellStyle name="20% - Accent1 7 2 6" xfId="6321"/>
    <cellStyle name="20% - Accent1 7 2 6 2" xfId="29096"/>
    <cellStyle name="20% - Accent1 7 2 7" xfId="3041"/>
    <cellStyle name="20% - Accent1 7 2 7 2" xfId="25816"/>
    <cellStyle name="20% - Accent1 7 2 8" xfId="6977"/>
    <cellStyle name="20% - Accent1 7 2 8 2" xfId="29752"/>
    <cellStyle name="20% - Accent1 7 2 9" xfId="7633"/>
    <cellStyle name="20% - Accent1 7 2 9 2" xfId="30408"/>
    <cellStyle name="20% - Accent1 7 20" xfId="13209"/>
    <cellStyle name="20% - Accent1 7 20 2" xfId="35984"/>
    <cellStyle name="20% - Accent1 7 21" xfId="13865"/>
    <cellStyle name="20% - Accent1 7 21 2" xfId="36640"/>
    <cellStyle name="20% - Accent1 7 22" xfId="14521"/>
    <cellStyle name="20% - Accent1 7 22 2" xfId="37296"/>
    <cellStyle name="20% - Accent1 7 23" xfId="15177"/>
    <cellStyle name="20% - Accent1 7 23 2" xfId="37952"/>
    <cellStyle name="20% - Accent1 7 24" xfId="15833"/>
    <cellStyle name="20% - Accent1 7 24 2" xfId="38608"/>
    <cellStyle name="20% - Accent1 7 25" xfId="16489"/>
    <cellStyle name="20% - Accent1 7 25 2" xfId="39264"/>
    <cellStyle name="20% - Accent1 7 26" xfId="17145"/>
    <cellStyle name="20% - Accent1 7 26 2" xfId="39920"/>
    <cellStyle name="20% - Accent1 7 27" xfId="17801"/>
    <cellStyle name="20% - Accent1 7 27 2" xfId="40576"/>
    <cellStyle name="20% - Accent1 7 28" xfId="18457"/>
    <cellStyle name="20% - Accent1 7 28 2" xfId="41232"/>
    <cellStyle name="20% - Accent1 7 29" xfId="19113"/>
    <cellStyle name="20% - Accent1 7 29 2" xfId="41888"/>
    <cellStyle name="20% - Accent1 7 3" xfId="1073"/>
    <cellStyle name="20% - Accent1 7 3 2" xfId="2713"/>
    <cellStyle name="20% - Accent1 7 3 2 2" xfId="25488"/>
    <cellStyle name="20% - Accent1 7 3 3" xfId="23848"/>
    <cellStyle name="20% - Accent1 7 30" xfId="19769"/>
    <cellStyle name="20% - Accent1 7 30 2" xfId="42544"/>
    <cellStyle name="20% - Accent1 7 31" xfId="20425"/>
    <cellStyle name="20% - Accent1 7 31 2" xfId="43200"/>
    <cellStyle name="20% - Accent1 7 32" xfId="21081"/>
    <cellStyle name="20% - Accent1 7 32 2" xfId="43856"/>
    <cellStyle name="20% - Accent1 7 33" xfId="21737"/>
    <cellStyle name="20% - Accent1 7 33 2" xfId="44512"/>
    <cellStyle name="20% - Accent1 7 34" xfId="22393"/>
    <cellStyle name="20% - Accent1 7 34 2" xfId="45168"/>
    <cellStyle name="20% - Accent1 7 35" xfId="23192"/>
    <cellStyle name="20% - Accent1 7 4" xfId="1729"/>
    <cellStyle name="20% - Accent1 7 4 2" xfId="3369"/>
    <cellStyle name="20% - Accent1 7 4 2 2" xfId="26144"/>
    <cellStyle name="20% - Accent1 7 4 3" xfId="24504"/>
    <cellStyle name="20% - Accent1 7 5" xfId="4025"/>
    <cellStyle name="20% - Accent1 7 5 2" xfId="26800"/>
    <cellStyle name="20% - Accent1 7 6" xfId="4681"/>
    <cellStyle name="20% - Accent1 7 6 2" xfId="27456"/>
    <cellStyle name="20% - Accent1 7 7" xfId="5337"/>
    <cellStyle name="20% - Accent1 7 7 2" xfId="28112"/>
    <cellStyle name="20% - Accent1 7 8" xfId="5993"/>
    <cellStyle name="20% - Accent1 7 8 2" xfId="28768"/>
    <cellStyle name="20% - Accent1 7 9" xfId="2385"/>
    <cellStyle name="20% - Accent1 7 9 2" xfId="25160"/>
    <cellStyle name="20% - Accent1 8" xfId="432"/>
    <cellStyle name="20% - Accent1 8 10" xfId="6663"/>
    <cellStyle name="20% - Accent1 8 10 2" xfId="29438"/>
    <cellStyle name="20% - Accent1 8 11" xfId="7319"/>
    <cellStyle name="20% - Accent1 8 11 2" xfId="30094"/>
    <cellStyle name="20% - Accent1 8 12" xfId="7975"/>
    <cellStyle name="20% - Accent1 8 12 2" xfId="30750"/>
    <cellStyle name="20% - Accent1 8 13" xfId="8631"/>
    <cellStyle name="20% - Accent1 8 13 2" xfId="31406"/>
    <cellStyle name="20% - Accent1 8 14" xfId="9287"/>
    <cellStyle name="20% - Accent1 8 14 2" xfId="32062"/>
    <cellStyle name="20% - Accent1 8 15" xfId="9943"/>
    <cellStyle name="20% - Accent1 8 15 2" xfId="32718"/>
    <cellStyle name="20% - Accent1 8 16" xfId="10599"/>
    <cellStyle name="20% - Accent1 8 16 2" xfId="33374"/>
    <cellStyle name="20% - Accent1 8 17" xfId="11255"/>
    <cellStyle name="20% - Accent1 8 17 2" xfId="34030"/>
    <cellStyle name="20% - Accent1 8 18" xfId="11911"/>
    <cellStyle name="20% - Accent1 8 18 2" xfId="34686"/>
    <cellStyle name="20% - Accent1 8 19" xfId="12567"/>
    <cellStyle name="20% - Accent1 8 19 2" xfId="35342"/>
    <cellStyle name="20% - Accent1 8 2" xfId="759"/>
    <cellStyle name="20% - Accent1 8 2 10" xfId="8303"/>
    <cellStyle name="20% - Accent1 8 2 10 2" xfId="31078"/>
    <cellStyle name="20% - Accent1 8 2 11" xfId="8959"/>
    <cellStyle name="20% - Accent1 8 2 11 2" xfId="31734"/>
    <cellStyle name="20% - Accent1 8 2 12" xfId="9615"/>
    <cellStyle name="20% - Accent1 8 2 12 2" xfId="32390"/>
    <cellStyle name="20% - Accent1 8 2 13" xfId="10271"/>
    <cellStyle name="20% - Accent1 8 2 13 2" xfId="33046"/>
    <cellStyle name="20% - Accent1 8 2 14" xfId="10927"/>
    <cellStyle name="20% - Accent1 8 2 14 2" xfId="33702"/>
    <cellStyle name="20% - Accent1 8 2 15" xfId="11583"/>
    <cellStyle name="20% - Accent1 8 2 15 2" xfId="34358"/>
    <cellStyle name="20% - Accent1 8 2 16" xfId="12239"/>
    <cellStyle name="20% - Accent1 8 2 16 2" xfId="35014"/>
    <cellStyle name="20% - Accent1 8 2 17" xfId="12895"/>
    <cellStyle name="20% - Accent1 8 2 17 2" xfId="35670"/>
    <cellStyle name="20% - Accent1 8 2 18" xfId="13551"/>
    <cellStyle name="20% - Accent1 8 2 18 2" xfId="36326"/>
    <cellStyle name="20% - Accent1 8 2 19" xfId="14207"/>
    <cellStyle name="20% - Accent1 8 2 19 2" xfId="36982"/>
    <cellStyle name="20% - Accent1 8 2 2" xfId="1415"/>
    <cellStyle name="20% - Accent1 8 2 2 2" xfId="3711"/>
    <cellStyle name="20% - Accent1 8 2 2 2 2" xfId="26486"/>
    <cellStyle name="20% - Accent1 8 2 2 3" xfId="24190"/>
    <cellStyle name="20% - Accent1 8 2 20" xfId="14863"/>
    <cellStyle name="20% - Accent1 8 2 20 2" xfId="37638"/>
    <cellStyle name="20% - Accent1 8 2 21" xfId="15519"/>
    <cellStyle name="20% - Accent1 8 2 21 2" xfId="38294"/>
    <cellStyle name="20% - Accent1 8 2 22" xfId="16175"/>
    <cellStyle name="20% - Accent1 8 2 22 2" xfId="38950"/>
    <cellStyle name="20% - Accent1 8 2 23" xfId="16831"/>
    <cellStyle name="20% - Accent1 8 2 23 2" xfId="39606"/>
    <cellStyle name="20% - Accent1 8 2 24" xfId="17487"/>
    <cellStyle name="20% - Accent1 8 2 24 2" xfId="40262"/>
    <cellStyle name="20% - Accent1 8 2 25" xfId="18143"/>
    <cellStyle name="20% - Accent1 8 2 25 2" xfId="40918"/>
    <cellStyle name="20% - Accent1 8 2 26" xfId="18799"/>
    <cellStyle name="20% - Accent1 8 2 26 2" xfId="41574"/>
    <cellStyle name="20% - Accent1 8 2 27" xfId="19455"/>
    <cellStyle name="20% - Accent1 8 2 27 2" xfId="42230"/>
    <cellStyle name="20% - Accent1 8 2 28" xfId="20111"/>
    <cellStyle name="20% - Accent1 8 2 28 2" xfId="42886"/>
    <cellStyle name="20% - Accent1 8 2 29" xfId="20767"/>
    <cellStyle name="20% - Accent1 8 2 29 2" xfId="43542"/>
    <cellStyle name="20% - Accent1 8 2 3" xfId="2071"/>
    <cellStyle name="20% - Accent1 8 2 3 2" xfId="4367"/>
    <cellStyle name="20% - Accent1 8 2 3 2 2" xfId="27142"/>
    <cellStyle name="20% - Accent1 8 2 3 3" xfId="24846"/>
    <cellStyle name="20% - Accent1 8 2 30" xfId="21423"/>
    <cellStyle name="20% - Accent1 8 2 30 2" xfId="44198"/>
    <cellStyle name="20% - Accent1 8 2 31" xfId="22079"/>
    <cellStyle name="20% - Accent1 8 2 31 2" xfId="44854"/>
    <cellStyle name="20% - Accent1 8 2 32" xfId="22735"/>
    <cellStyle name="20% - Accent1 8 2 32 2" xfId="45510"/>
    <cellStyle name="20% - Accent1 8 2 33" xfId="23534"/>
    <cellStyle name="20% - Accent1 8 2 4" xfId="5023"/>
    <cellStyle name="20% - Accent1 8 2 4 2" xfId="27798"/>
    <cellStyle name="20% - Accent1 8 2 5" xfId="5679"/>
    <cellStyle name="20% - Accent1 8 2 5 2" xfId="28454"/>
    <cellStyle name="20% - Accent1 8 2 6" xfId="6335"/>
    <cellStyle name="20% - Accent1 8 2 6 2" xfId="29110"/>
    <cellStyle name="20% - Accent1 8 2 7" xfId="3055"/>
    <cellStyle name="20% - Accent1 8 2 7 2" xfId="25830"/>
    <cellStyle name="20% - Accent1 8 2 8" xfId="6991"/>
    <cellStyle name="20% - Accent1 8 2 8 2" xfId="29766"/>
    <cellStyle name="20% - Accent1 8 2 9" xfId="7647"/>
    <cellStyle name="20% - Accent1 8 2 9 2" xfId="30422"/>
    <cellStyle name="20% - Accent1 8 20" xfId="13223"/>
    <cellStyle name="20% - Accent1 8 20 2" xfId="35998"/>
    <cellStyle name="20% - Accent1 8 21" xfId="13879"/>
    <cellStyle name="20% - Accent1 8 21 2" xfId="36654"/>
    <cellStyle name="20% - Accent1 8 22" xfId="14535"/>
    <cellStyle name="20% - Accent1 8 22 2" xfId="37310"/>
    <cellStyle name="20% - Accent1 8 23" xfId="15191"/>
    <cellStyle name="20% - Accent1 8 23 2" xfId="37966"/>
    <cellStyle name="20% - Accent1 8 24" xfId="15847"/>
    <cellStyle name="20% - Accent1 8 24 2" xfId="38622"/>
    <cellStyle name="20% - Accent1 8 25" xfId="16503"/>
    <cellStyle name="20% - Accent1 8 25 2" xfId="39278"/>
    <cellStyle name="20% - Accent1 8 26" xfId="17159"/>
    <cellStyle name="20% - Accent1 8 26 2" xfId="39934"/>
    <cellStyle name="20% - Accent1 8 27" xfId="17815"/>
    <cellStyle name="20% - Accent1 8 27 2" xfId="40590"/>
    <cellStyle name="20% - Accent1 8 28" xfId="18471"/>
    <cellStyle name="20% - Accent1 8 28 2" xfId="41246"/>
    <cellStyle name="20% - Accent1 8 29" xfId="19127"/>
    <cellStyle name="20% - Accent1 8 29 2" xfId="41902"/>
    <cellStyle name="20% - Accent1 8 3" xfId="1087"/>
    <cellStyle name="20% - Accent1 8 3 2" xfId="2727"/>
    <cellStyle name="20% - Accent1 8 3 2 2" xfId="25502"/>
    <cellStyle name="20% - Accent1 8 3 3" xfId="23862"/>
    <cellStyle name="20% - Accent1 8 30" xfId="19783"/>
    <cellStyle name="20% - Accent1 8 30 2" xfId="42558"/>
    <cellStyle name="20% - Accent1 8 31" xfId="20439"/>
    <cellStyle name="20% - Accent1 8 31 2" xfId="43214"/>
    <cellStyle name="20% - Accent1 8 32" xfId="21095"/>
    <cellStyle name="20% - Accent1 8 32 2" xfId="43870"/>
    <cellStyle name="20% - Accent1 8 33" xfId="21751"/>
    <cellStyle name="20% - Accent1 8 33 2" xfId="44526"/>
    <cellStyle name="20% - Accent1 8 34" xfId="22407"/>
    <cellStyle name="20% - Accent1 8 34 2" xfId="45182"/>
    <cellStyle name="20% - Accent1 8 35" xfId="23206"/>
    <cellStyle name="20% - Accent1 8 4" xfId="1743"/>
    <cellStyle name="20% - Accent1 8 4 2" xfId="3383"/>
    <cellStyle name="20% - Accent1 8 4 2 2" xfId="26158"/>
    <cellStyle name="20% - Accent1 8 4 3" xfId="24518"/>
    <cellStyle name="20% - Accent1 8 5" xfId="4039"/>
    <cellStyle name="20% - Accent1 8 5 2" xfId="26814"/>
    <cellStyle name="20% - Accent1 8 6" xfId="4695"/>
    <cellStyle name="20% - Accent1 8 6 2" xfId="27470"/>
    <cellStyle name="20% - Accent1 8 7" xfId="5351"/>
    <cellStyle name="20% - Accent1 8 7 2" xfId="28126"/>
    <cellStyle name="20% - Accent1 8 8" xfId="6007"/>
    <cellStyle name="20% - Accent1 8 8 2" xfId="28782"/>
    <cellStyle name="20% - Accent1 8 9" xfId="2399"/>
    <cellStyle name="20% - Accent1 8 9 2" xfId="25174"/>
    <cellStyle name="20% - Accent1 9" xfId="446"/>
    <cellStyle name="20% - Accent1 9 10" xfId="6677"/>
    <cellStyle name="20% - Accent1 9 10 2" xfId="29452"/>
    <cellStyle name="20% - Accent1 9 11" xfId="7333"/>
    <cellStyle name="20% - Accent1 9 11 2" xfId="30108"/>
    <cellStyle name="20% - Accent1 9 12" xfId="7989"/>
    <cellStyle name="20% - Accent1 9 12 2" xfId="30764"/>
    <cellStyle name="20% - Accent1 9 13" xfId="8645"/>
    <cellStyle name="20% - Accent1 9 13 2" xfId="31420"/>
    <cellStyle name="20% - Accent1 9 14" xfId="9301"/>
    <cellStyle name="20% - Accent1 9 14 2" xfId="32076"/>
    <cellStyle name="20% - Accent1 9 15" xfId="9957"/>
    <cellStyle name="20% - Accent1 9 15 2" xfId="32732"/>
    <cellStyle name="20% - Accent1 9 16" xfId="10613"/>
    <cellStyle name="20% - Accent1 9 16 2" xfId="33388"/>
    <cellStyle name="20% - Accent1 9 17" xfId="11269"/>
    <cellStyle name="20% - Accent1 9 17 2" xfId="34044"/>
    <cellStyle name="20% - Accent1 9 18" xfId="11925"/>
    <cellStyle name="20% - Accent1 9 18 2" xfId="34700"/>
    <cellStyle name="20% - Accent1 9 19" xfId="12581"/>
    <cellStyle name="20% - Accent1 9 19 2" xfId="35356"/>
    <cellStyle name="20% - Accent1 9 2" xfId="773"/>
    <cellStyle name="20% - Accent1 9 2 10" xfId="8317"/>
    <cellStyle name="20% - Accent1 9 2 10 2" xfId="31092"/>
    <cellStyle name="20% - Accent1 9 2 11" xfId="8973"/>
    <cellStyle name="20% - Accent1 9 2 11 2" xfId="31748"/>
    <cellStyle name="20% - Accent1 9 2 12" xfId="9629"/>
    <cellStyle name="20% - Accent1 9 2 12 2" xfId="32404"/>
    <cellStyle name="20% - Accent1 9 2 13" xfId="10285"/>
    <cellStyle name="20% - Accent1 9 2 13 2" xfId="33060"/>
    <cellStyle name="20% - Accent1 9 2 14" xfId="10941"/>
    <cellStyle name="20% - Accent1 9 2 14 2" xfId="33716"/>
    <cellStyle name="20% - Accent1 9 2 15" xfId="11597"/>
    <cellStyle name="20% - Accent1 9 2 15 2" xfId="34372"/>
    <cellStyle name="20% - Accent1 9 2 16" xfId="12253"/>
    <cellStyle name="20% - Accent1 9 2 16 2" xfId="35028"/>
    <cellStyle name="20% - Accent1 9 2 17" xfId="12909"/>
    <cellStyle name="20% - Accent1 9 2 17 2" xfId="35684"/>
    <cellStyle name="20% - Accent1 9 2 18" xfId="13565"/>
    <cellStyle name="20% - Accent1 9 2 18 2" xfId="36340"/>
    <cellStyle name="20% - Accent1 9 2 19" xfId="14221"/>
    <cellStyle name="20% - Accent1 9 2 19 2" xfId="36996"/>
    <cellStyle name="20% - Accent1 9 2 2" xfId="1429"/>
    <cellStyle name="20% - Accent1 9 2 2 2" xfId="3725"/>
    <cellStyle name="20% - Accent1 9 2 2 2 2" xfId="26500"/>
    <cellStyle name="20% - Accent1 9 2 2 3" xfId="24204"/>
    <cellStyle name="20% - Accent1 9 2 20" xfId="14877"/>
    <cellStyle name="20% - Accent1 9 2 20 2" xfId="37652"/>
    <cellStyle name="20% - Accent1 9 2 21" xfId="15533"/>
    <cellStyle name="20% - Accent1 9 2 21 2" xfId="38308"/>
    <cellStyle name="20% - Accent1 9 2 22" xfId="16189"/>
    <cellStyle name="20% - Accent1 9 2 22 2" xfId="38964"/>
    <cellStyle name="20% - Accent1 9 2 23" xfId="16845"/>
    <cellStyle name="20% - Accent1 9 2 23 2" xfId="39620"/>
    <cellStyle name="20% - Accent1 9 2 24" xfId="17501"/>
    <cellStyle name="20% - Accent1 9 2 24 2" xfId="40276"/>
    <cellStyle name="20% - Accent1 9 2 25" xfId="18157"/>
    <cellStyle name="20% - Accent1 9 2 25 2" xfId="40932"/>
    <cellStyle name="20% - Accent1 9 2 26" xfId="18813"/>
    <cellStyle name="20% - Accent1 9 2 26 2" xfId="41588"/>
    <cellStyle name="20% - Accent1 9 2 27" xfId="19469"/>
    <cellStyle name="20% - Accent1 9 2 27 2" xfId="42244"/>
    <cellStyle name="20% - Accent1 9 2 28" xfId="20125"/>
    <cellStyle name="20% - Accent1 9 2 28 2" xfId="42900"/>
    <cellStyle name="20% - Accent1 9 2 29" xfId="20781"/>
    <cellStyle name="20% - Accent1 9 2 29 2" xfId="43556"/>
    <cellStyle name="20% - Accent1 9 2 3" xfId="2085"/>
    <cellStyle name="20% - Accent1 9 2 3 2" xfId="4381"/>
    <cellStyle name="20% - Accent1 9 2 3 2 2" xfId="27156"/>
    <cellStyle name="20% - Accent1 9 2 3 3" xfId="24860"/>
    <cellStyle name="20% - Accent1 9 2 30" xfId="21437"/>
    <cellStyle name="20% - Accent1 9 2 30 2" xfId="44212"/>
    <cellStyle name="20% - Accent1 9 2 31" xfId="22093"/>
    <cellStyle name="20% - Accent1 9 2 31 2" xfId="44868"/>
    <cellStyle name="20% - Accent1 9 2 32" xfId="22749"/>
    <cellStyle name="20% - Accent1 9 2 32 2" xfId="45524"/>
    <cellStyle name="20% - Accent1 9 2 33" xfId="23548"/>
    <cellStyle name="20% - Accent1 9 2 4" xfId="5037"/>
    <cellStyle name="20% - Accent1 9 2 4 2" xfId="27812"/>
    <cellStyle name="20% - Accent1 9 2 5" xfId="5693"/>
    <cellStyle name="20% - Accent1 9 2 5 2" xfId="28468"/>
    <cellStyle name="20% - Accent1 9 2 6" xfId="6349"/>
    <cellStyle name="20% - Accent1 9 2 6 2" xfId="29124"/>
    <cellStyle name="20% - Accent1 9 2 7" xfId="3069"/>
    <cellStyle name="20% - Accent1 9 2 7 2" xfId="25844"/>
    <cellStyle name="20% - Accent1 9 2 8" xfId="7005"/>
    <cellStyle name="20% - Accent1 9 2 8 2" xfId="29780"/>
    <cellStyle name="20% - Accent1 9 2 9" xfId="7661"/>
    <cellStyle name="20% - Accent1 9 2 9 2" xfId="30436"/>
    <cellStyle name="20% - Accent1 9 20" xfId="13237"/>
    <cellStyle name="20% - Accent1 9 20 2" xfId="36012"/>
    <cellStyle name="20% - Accent1 9 21" xfId="13893"/>
    <cellStyle name="20% - Accent1 9 21 2" xfId="36668"/>
    <cellStyle name="20% - Accent1 9 22" xfId="14549"/>
    <cellStyle name="20% - Accent1 9 22 2" xfId="37324"/>
    <cellStyle name="20% - Accent1 9 23" xfId="15205"/>
    <cellStyle name="20% - Accent1 9 23 2" xfId="37980"/>
    <cellStyle name="20% - Accent1 9 24" xfId="15861"/>
    <cellStyle name="20% - Accent1 9 24 2" xfId="38636"/>
    <cellStyle name="20% - Accent1 9 25" xfId="16517"/>
    <cellStyle name="20% - Accent1 9 25 2" xfId="39292"/>
    <cellStyle name="20% - Accent1 9 26" xfId="17173"/>
    <cellStyle name="20% - Accent1 9 26 2" xfId="39948"/>
    <cellStyle name="20% - Accent1 9 27" xfId="17829"/>
    <cellStyle name="20% - Accent1 9 27 2" xfId="40604"/>
    <cellStyle name="20% - Accent1 9 28" xfId="18485"/>
    <cellStyle name="20% - Accent1 9 28 2" xfId="41260"/>
    <cellStyle name="20% - Accent1 9 29" xfId="19141"/>
    <cellStyle name="20% - Accent1 9 29 2" xfId="41916"/>
    <cellStyle name="20% - Accent1 9 3" xfId="1101"/>
    <cellStyle name="20% - Accent1 9 3 2" xfId="2741"/>
    <cellStyle name="20% - Accent1 9 3 2 2" xfId="25516"/>
    <cellStyle name="20% - Accent1 9 3 3" xfId="23876"/>
    <cellStyle name="20% - Accent1 9 30" xfId="19797"/>
    <cellStyle name="20% - Accent1 9 30 2" xfId="42572"/>
    <cellStyle name="20% - Accent1 9 31" xfId="20453"/>
    <cellStyle name="20% - Accent1 9 31 2" xfId="43228"/>
    <cellStyle name="20% - Accent1 9 32" xfId="21109"/>
    <cellStyle name="20% - Accent1 9 32 2" xfId="43884"/>
    <cellStyle name="20% - Accent1 9 33" xfId="21765"/>
    <cellStyle name="20% - Accent1 9 33 2" xfId="44540"/>
    <cellStyle name="20% - Accent1 9 34" xfId="22421"/>
    <cellStyle name="20% - Accent1 9 34 2" xfId="45196"/>
    <cellStyle name="20% - Accent1 9 35" xfId="23220"/>
    <cellStyle name="20% - Accent1 9 4" xfId="1757"/>
    <cellStyle name="20% - Accent1 9 4 2" xfId="3397"/>
    <cellStyle name="20% - Accent1 9 4 2 2" xfId="26172"/>
    <cellStyle name="20% - Accent1 9 4 3" xfId="24532"/>
    <cellStyle name="20% - Accent1 9 5" xfId="4053"/>
    <cellStyle name="20% - Accent1 9 5 2" xfId="26828"/>
    <cellStyle name="20% - Accent1 9 6" xfId="4709"/>
    <cellStyle name="20% - Accent1 9 6 2" xfId="27484"/>
    <cellStyle name="20% - Accent1 9 7" xfId="5365"/>
    <cellStyle name="20% - Accent1 9 7 2" xfId="28140"/>
    <cellStyle name="20% - Accent1 9 8" xfId="6021"/>
    <cellStyle name="20% - Accent1 9 8 2" xfId="28796"/>
    <cellStyle name="20% - Accent1 9 9" xfId="2413"/>
    <cellStyle name="20% - Accent1 9 9 2" xfId="25188"/>
    <cellStyle name="20% - Accent2" xfId="25" builtinId="34" customBuiltin="1"/>
    <cellStyle name="20% - Accent2 10" xfId="460"/>
    <cellStyle name="20% - Accent2 10 10" xfId="6691"/>
    <cellStyle name="20% - Accent2 10 10 2" xfId="29466"/>
    <cellStyle name="20% - Accent2 10 11" xfId="7347"/>
    <cellStyle name="20% - Accent2 10 11 2" xfId="30122"/>
    <cellStyle name="20% - Accent2 10 12" xfId="8003"/>
    <cellStyle name="20% - Accent2 10 12 2" xfId="30778"/>
    <cellStyle name="20% - Accent2 10 13" xfId="8659"/>
    <cellStyle name="20% - Accent2 10 13 2" xfId="31434"/>
    <cellStyle name="20% - Accent2 10 14" xfId="9315"/>
    <cellStyle name="20% - Accent2 10 14 2" xfId="32090"/>
    <cellStyle name="20% - Accent2 10 15" xfId="9971"/>
    <cellStyle name="20% - Accent2 10 15 2" xfId="32746"/>
    <cellStyle name="20% - Accent2 10 16" xfId="10627"/>
    <cellStyle name="20% - Accent2 10 16 2" xfId="33402"/>
    <cellStyle name="20% - Accent2 10 17" xfId="11283"/>
    <cellStyle name="20% - Accent2 10 17 2" xfId="34058"/>
    <cellStyle name="20% - Accent2 10 18" xfId="11939"/>
    <cellStyle name="20% - Accent2 10 18 2" xfId="34714"/>
    <cellStyle name="20% - Accent2 10 19" xfId="12595"/>
    <cellStyle name="20% - Accent2 10 19 2" xfId="35370"/>
    <cellStyle name="20% - Accent2 10 2" xfId="787"/>
    <cellStyle name="20% - Accent2 10 2 10" xfId="8331"/>
    <cellStyle name="20% - Accent2 10 2 10 2" xfId="31106"/>
    <cellStyle name="20% - Accent2 10 2 11" xfId="8987"/>
    <cellStyle name="20% - Accent2 10 2 11 2" xfId="31762"/>
    <cellStyle name="20% - Accent2 10 2 12" xfId="9643"/>
    <cellStyle name="20% - Accent2 10 2 12 2" xfId="32418"/>
    <cellStyle name="20% - Accent2 10 2 13" xfId="10299"/>
    <cellStyle name="20% - Accent2 10 2 13 2" xfId="33074"/>
    <cellStyle name="20% - Accent2 10 2 14" xfId="10955"/>
    <cellStyle name="20% - Accent2 10 2 14 2" xfId="33730"/>
    <cellStyle name="20% - Accent2 10 2 15" xfId="11611"/>
    <cellStyle name="20% - Accent2 10 2 15 2" xfId="34386"/>
    <cellStyle name="20% - Accent2 10 2 16" xfId="12267"/>
    <cellStyle name="20% - Accent2 10 2 16 2" xfId="35042"/>
    <cellStyle name="20% - Accent2 10 2 17" xfId="12923"/>
    <cellStyle name="20% - Accent2 10 2 17 2" xfId="35698"/>
    <cellStyle name="20% - Accent2 10 2 18" xfId="13579"/>
    <cellStyle name="20% - Accent2 10 2 18 2" xfId="36354"/>
    <cellStyle name="20% - Accent2 10 2 19" xfId="14235"/>
    <cellStyle name="20% - Accent2 10 2 19 2" xfId="37010"/>
    <cellStyle name="20% - Accent2 10 2 2" xfId="1443"/>
    <cellStyle name="20% - Accent2 10 2 2 2" xfId="3739"/>
    <cellStyle name="20% - Accent2 10 2 2 2 2" xfId="26514"/>
    <cellStyle name="20% - Accent2 10 2 2 3" xfId="24218"/>
    <cellStyle name="20% - Accent2 10 2 20" xfId="14891"/>
    <cellStyle name="20% - Accent2 10 2 20 2" xfId="37666"/>
    <cellStyle name="20% - Accent2 10 2 21" xfId="15547"/>
    <cellStyle name="20% - Accent2 10 2 21 2" xfId="38322"/>
    <cellStyle name="20% - Accent2 10 2 22" xfId="16203"/>
    <cellStyle name="20% - Accent2 10 2 22 2" xfId="38978"/>
    <cellStyle name="20% - Accent2 10 2 23" xfId="16859"/>
    <cellStyle name="20% - Accent2 10 2 23 2" xfId="39634"/>
    <cellStyle name="20% - Accent2 10 2 24" xfId="17515"/>
    <cellStyle name="20% - Accent2 10 2 24 2" xfId="40290"/>
    <cellStyle name="20% - Accent2 10 2 25" xfId="18171"/>
    <cellStyle name="20% - Accent2 10 2 25 2" xfId="40946"/>
    <cellStyle name="20% - Accent2 10 2 26" xfId="18827"/>
    <cellStyle name="20% - Accent2 10 2 26 2" xfId="41602"/>
    <cellStyle name="20% - Accent2 10 2 27" xfId="19483"/>
    <cellStyle name="20% - Accent2 10 2 27 2" xfId="42258"/>
    <cellStyle name="20% - Accent2 10 2 28" xfId="20139"/>
    <cellStyle name="20% - Accent2 10 2 28 2" xfId="42914"/>
    <cellStyle name="20% - Accent2 10 2 29" xfId="20795"/>
    <cellStyle name="20% - Accent2 10 2 29 2" xfId="43570"/>
    <cellStyle name="20% - Accent2 10 2 3" xfId="2099"/>
    <cellStyle name="20% - Accent2 10 2 3 2" xfId="4395"/>
    <cellStyle name="20% - Accent2 10 2 3 2 2" xfId="27170"/>
    <cellStyle name="20% - Accent2 10 2 3 3" xfId="24874"/>
    <cellStyle name="20% - Accent2 10 2 30" xfId="21451"/>
    <cellStyle name="20% - Accent2 10 2 30 2" xfId="44226"/>
    <cellStyle name="20% - Accent2 10 2 31" xfId="22107"/>
    <cellStyle name="20% - Accent2 10 2 31 2" xfId="44882"/>
    <cellStyle name="20% - Accent2 10 2 32" xfId="22763"/>
    <cellStyle name="20% - Accent2 10 2 32 2" xfId="45538"/>
    <cellStyle name="20% - Accent2 10 2 33" xfId="23562"/>
    <cellStyle name="20% - Accent2 10 2 4" xfId="5051"/>
    <cellStyle name="20% - Accent2 10 2 4 2" xfId="27826"/>
    <cellStyle name="20% - Accent2 10 2 5" xfId="5707"/>
    <cellStyle name="20% - Accent2 10 2 5 2" xfId="28482"/>
    <cellStyle name="20% - Accent2 10 2 6" xfId="6363"/>
    <cellStyle name="20% - Accent2 10 2 6 2" xfId="29138"/>
    <cellStyle name="20% - Accent2 10 2 7" xfId="3083"/>
    <cellStyle name="20% - Accent2 10 2 7 2" xfId="25858"/>
    <cellStyle name="20% - Accent2 10 2 8" xfId="7019"/>
    <cellStyle name="20% - Accent2 10 2 8 2" xfId="29794"/>
    <cellStyle name="20% - Accent2 10 2 9" xfId="7675"/>
    <cellStyle name="20% - Accent2 10 2 9 2" xfId="30450"/>
    <cellStyle name="20% - Accent2 10 20" xfId="13251"/>
    <cellStyle name="20% - Accent2 10 20 2" xfId="36026"/>
    <cellStyle name="20% - Accent2 10 21" xfId="13907"/>
    <cellStyle name="20% - Accent2 10 21 2" xfId="36682"/>
    <cellStyle name="20% - Accent2 10 22" xfId="14563"/>
    <cellStyle name="20% - Accent2 10 22 2" xfId="37338"/>
    <cellStyle name="20% - Accent2 10 23" xfId="15219"/>
    <cellStyle name="20% - Accent2 10 23 2" xfId="37994"/>
    <cellStyle name="20% - Accent2 10 24" xfId="15875"/>
    <cellStyle name="20% - Accent2 10 24 2" xfId="38650"/>
    <cellStyle name="20% - Accent2 10 25" xfId="16531"/>
    <cellStyle name="20% - Accent2 10 25 2" xfId="39306"/>
    <cellStyle name="20% - Accent2 10 26" xfId="17187"/>
    <cellStyle name="20% - Accent2 10 26 2" xfId="39962"/>
    <cellStyle name="20% - Accent2 10 27" xfId="17843"/>
    <cellStyle name="20% - Accent2 10 27 2" xfId="40618"/>
    <cellStyle name="20% - Accent2 10 28" xfId="18499"/>
    <cellStyle name="20% - Accent2 10 28 2" xfId="41274"/>
    <cellStyle name="20% - Accent2 10 29" xfId="19155"/>
    <cellStyle name="20% - Accent2 10 29 2" xfId="41930"/>
    <cellStyle name="20% - Accent2 10 3" xfId="1115"/>
    <cellStyle name="20% - Accent2 10 3 2" xfId="2755"/>
    <cellStyle name="20% - Accent2 10 3 2 2" xfId="25530"/>
    <cellStyle name="20% - Accent2 10 3 3" xfId="23890"/>
    <cellStyle name="20% - Accent2 10 30" xfId="19811"/>
    <cellStyle name="20% - Accent2 10 30 2" xfId="42586"/>
    <cellStyle name="20% - Accent2 10 31" xfId="20467"/>
    <cellStyle name="20% - Accent2 10 31 2" xfId="43242"/>
    <cellStyle name="20% - Accent2 10 32" xfId="21123"/>
    <cellStyle name="20% - Accent2 10 32 2" xfId="43898"/>
    <cellStyle name="20% - Accent2 10 33" xfId="21779"/>
    <cellStyle name="20% - Accent2 10 33 2" xfId="44554"/>
    <cellStyle name="20% - Accent2 10 34" xfId="22435"/>
    <cellStyle name="20% - Accent2 10 34 2" xfId="45210"/>
    <cellStyle name="20% - Accent2 10 35" xfId="23234"/>
    <cellStyle name="20% - Accent2 10 4" xfId="1771"/>
    <cellStyle name="20% - Accent2 10 4 2" xfId="3411"/>
    <cellStyle name="20% - Accent2 10 4 2 2" xfId="26186"/>
    <cellStyle name="20% - Accent2 10 4 3" xfId="24546"/>
    <cellStyle name="20% - Accent2 10 5" xfId="4067"/>
    <cellStyle name="20% - Accent2 10 5 2" xfId="26842"/>
    <cellStyle name="20% - Accent2 10 6" xfId="4723"/>
    <cellStyle name="20% - Accent2 10 6 2" xfId="27498"/>
    <cellStyle name="20% - Accent2 10 7" xfId="5379"/>
    <cellStyle name="20% - Accent2 10 7 2" xfId="28154"/>
    <cellStyle name="20% - Accent2 10 8" xfId="6035"/>
    <cellStyle name="20% - Accent2 10 8 2" xfId="28810"/>
    <cellStyle name="20% - Accent2 10 9" xfId="2427"/>
    <cellStyle name="20% - Accent2 10 9 2" xfId="25202"/>
    <cellStyle name="20% - Accent2 11" xfId="602"/>
    <cellStyle name="20% - Accent2 11 10" xfId="8146"/>
    <cellStyle name="20% - Accent2 11 10 2" xfId="30921"/>
    <cellStyle name="20% - Accent2 11 11" xfId="8802"/>
    <cellStyle name="20% - Accent2 11 11 2" xfId="31577"/>
    <cellStyle name="20% - Accent2 11 12" xfId="9458"/>
    <cellStyle name="20% - Accent2 11 12 2" xfId="32233"/>
    <cellStyle name="20% - Accent2 11 13" xfId="10114"/>
    <cellStyle name="20% - Accent2 11 13 2" xfId="32889"/>
    <cellStyle name="20% - Accent2 11 14" xfId="10770"/>
    <cellStyle name="20% - Accent2 11 14 2" xfId="33545"/>
    <cellStyle name="20% - Accent2 11 15" xfId="11426"/>
    <cellStyle name="20% - Accent2 11 15 2" xfId="34201"/>
    <cellStyle name="20% - Accent2 11 16" xfId="12082"/>
    <cellStyle name="20% - Accent2 11 16 2" xfId="34857"/>
    <cellStyle name="20% - Accent2 11 17" xfId="12738"/>
    <cellStyle name="20% - Accent2 11 17 2" xfId="35513"/>
    <cellStyle name="20% - Accent2 11 18" xfId="13394"/>
    <cellStyle name="20% - Accent2 11 18 2" xfId="36169"/>
    <cellStyle name="20% - Accent2 11 19" xfId="14050"/>
    <cellStyle name="20% - Accent2 11 19 2" xfId="36825"/>
    <cellStyle name="20% - Accent2 11 2" xfId="1258"/>
    <cellStyle name="20% - Accent2 11 2 2" xfId="3554"/>
    <cellStyle name="20% - Accent2 11 2 2 2" xfId="26329"/>
    <cellStyle name="20% - Accent2 11 2 3" xfId="24033"/>
    <cellStyle name="20% - Accent2 11 20" xfId="14706"/>
    <cellStyle name="20% - Accent2 11 20 2" xfId="37481"/>
    <cellStyle name="20% - Accent2 11 21" xfId="15362"/>
    <cellStyle name="20% - Accent2 11 21 2" xfId="38137"/>
    <cellStyle name="20% - Accent2 11 22" xfId="16018"/>
    <cellStyle name="20% - Accent2 11 22 2" xfId="38793"/>
    <cellStyle name="20% - Accent2 11 23" xfId="16674"/>
    <cellStyle name="20% - Accent2 11 23 2" xfId="39449"/>
    <cellStyle name="20% - Accent2 11 24" xfId="17330"/>
    <cellStyle name="20% - Accent2 11 24 2" xfId="40105"/>
    <cellStyle name="20% - Accent2 11 25" xfId="17986"/>
    <cellStyle name="20% - Accent2 11 25 2" xfId="40761"/>
    <cellStyle name="20% - Accent2 11 26" xfId="18642"/>
    <cellStyle name="20% - Accent2 11 26 2" xfId="41417"/>
    <cellStyle name="20% - Accent2 11 27" xfId="19298"/>
    <cellStyle name="20% - Accent2 11 27 2" xfId="42073"/>
    <cellStyle name="20% - Accent2 11 28" xfId="19954"/>
    <cellStyle name="20% - Accent2 11 28 2" xfId="42729"/>
    <cellStyle name="20% - Accent2 11 29" xfId="20610"/>
    <cellStyle name="20% - Accent2 11 29 2" xfId="43385"/>
    <cellStyle name="20% - Accent2 11 3" xfId="1914"/>
    <cellStyle name="20% - Accent2 11 3 2" xfId="4210"/>
    <cellStyle name="20% - Accent2 11 3 2 2" xfId="26985"/>
    <cellStyle name="20% - Accent2 11 3 3" xfId="24689"/>
    <cellStyle name="20% - Accent2 11 30" xfId="21266"/>
    <cellStyle name="20% - Accent2 11 30 2" xfId="44041"/>
    <cellStyle name="20% - Accent2 11 31" xfId="21922"/>
    <cellStyle name="20% - Accent2 11 31 2" xfId="44697"/>
    <cellStyle name="20% - Accent2 11 32" xfId="22578"/>
    <cellStyle name="20% - Accent2 11 32 2" xfId="45353"/>
    <cellStyle name="20% - Accent2 11 33" xfId="23377"/>
    <cellStyle name="20% - Accent2 11 4" xfId="4866"/>
    <cellStyle name="20% - Accent2 11 4 2" xfId="27641"/>
    <cellStyle name="20% - Accent2 11 5" xfId="5522"/>
    <cellStyle name="20% - Accent2 11 5 2" xfId="28297"/>
    <cellStyle name="20% - Accent2 11 6" xfId="6178"/>
    <cellStyle name="20% - Accent2 11 6 2" xfId="28953"/>
    <cellStyle name="20% - Accent2 11 7" xfId="2898"/>
    <cellStyle name="20% - Accent2 11 7 2" xfId="25673"/>
    <cellStyle name="20% - Accent2 11 8" xfId="6834"/>
    <cellStyle name="20% - Accent2 11 8 2" xfId="29609"/>
    <cellStyle name="20% - Accent2 11 9" xfId="7490"/>
    <cellStyle name="20% - Accent2 11 9 2" xfId="30265"/>
    <cellStyle name="20% - Accent2 12" xfId="275"/>
    <cellStyle name="20% - Accent2 12 2" xfId="2570"/>
    <cellStyle name="20% - Accent2 12 2 2" xfId="25345"/>
    <cellStyle name="20% - Accent2 12 3" xfId="23049"/>
    <cellStyle name="20% - Accent2 13" xfId="930"/>
    <cellStyle name="20% - Accent2 13 2" xfId="3226"/>
    <cellStyle name="20% - Accent2 13 2 2" xfId="26001"/>
    <cellStyle name="20% - Accent2 13 3" xfId="23705"/>
    <cellStyle name="20% - Accent2 14" xfId="1586"/>
    <cellStyle name="20% - Accent2 14 2" xfId="3882"/>
    <cellStyle name="20% - Accent2 14 2 2" xfId="26657"/>
    <cellStyle name="20% - Accent2 14 3" xfId="24361"/>
    <cellStyle name="20% - Accent2 15" xfId="4538"/>
    <cellStyle name="20% - Accent2 15 2" xfId="27313"/>
    <cellStyle name="20% - Accent2 16" xfId="5194"/>
    <cellStyle name="20% - Accent2 16 2" xfId="27969"/>
    <cellStyle name="20% - Accent2 17" xfId="5850"/>
    <cellStyle name="20% - Accent2 17 2" xfId="28625"/>
    <cellStyle name="20% - Accent2 18" xfId="2242"/>
    <cellStyle name="20% - Accent2 18 2" xfId="25017"/>
    <cellStyle name="20% - Accent2 19" xfId="6506"/>
    <cellStyle name="20% - Accent2 19 2" xfId="29281"/>
    <cellStyle name="20% - Accent2 2" xfId="70"/>
    <cellStyle name="20% - Accent2 2 10" xfId="5866"/>
    <cellStyle name="20% - Accent2 2 10 2" xfId="28641"/>
    <cellStyle name="20% - Accent2 2 11" xfId="2258"/>
    <cellStyle name="20% - Accent2 2 11 2" xfId="25033"/>
    <cellStyle name="20% - Accent2 2 12" xfId="6522"/>
    <cellStyle name="20% - Accent2 2 12 2" xfId="29297"/>
    <cellStyle name="20% - Accent2 2 13" xfId="7178"/>
    <cellStyle name="20% - Accent2 2 13 2" xfId="29953"/>
    <cellStyle name="20% - Accent2 2 14" xfId="7834"/>
    <cellStyle name="20% - Accent2 2 14 2" xfId="30609"/>
    <cellStyle name="20% - Accent2 2 15" xfId="8490"/>
    <cellStyle name="20% - Accent2 2 15 2" xfId="31265"/>
    <cellStyle name="20% - Accent2 2 16" xfId="9146"/>
    <cellStyle name="20% - Accent2 2 16 2" xfId="31921"/>
    <cellStyle name="20% - Accent2 2 17" xfId="9802"/>
    <cellStyle name="20% - Accent2 2 17 2" xfId="32577"/>
    <cellStyle name="20% - Accent2 2 18" xfId="10458"/>
    <cellStyle name="20% - Accent2 2 18 2" xfId="33233"/>
    <cellStyle name="20% - Accent2 2 19" xfId="11114"/>
    <cellStyle name="20% - Accent2 2 19 2" xfId="33889"/>
    <cellStyle name="20% - Accent2 2 2" xfId="146"/>
    <cellStyle name="20% - Accent2 2 2 10" xfId="2344"/>
    <cellStyle name="20% - Accent2 2 2 10 2" xfId="25119"/>
    <cellStyle name="20% - Accent2 2 2 11" xfId="6608"/>
    <cellStyle name="20% - Accent2 2 2 11 2" xfId="29383"/>
    <cellStyle name="20% - Accent2 2 2 12" xfId="7264"/>
    <cellStyle name="20% - Accent2 2 2 12 2" xfId="30039"/>
    <cellStyle name="20% - Accent2 2 2 13" xfId="7920"/>
    <cellStyle name="20% - Accent2 2 2 13 2" xfId="30695"/>
    <cellStyle name="20% - Accent2 2 2 14" xfId="8576"/>
    <cellStyle name="20% - Accent2 2 2 14 2" xfId="31351"/>
    <cellStyle name="20% - Accent2 2 2 15" xfId="9232"/>
    <cellStyle name="20% - Accent2 2 2 15 2" xfId="32007"/>
    <cellStyle name="20% - Accent2 2 2 16" xfId="9888"/>
    <cellStyle name="20% - Accent2 2 2 16 2" xfId="32663"/>
    <cellStyle name="20% - Accent2 2 2 17" xfId="10544"/>
    <cellStyle name="20% - Accent2 2 2 17 2" xfId="33319"/>
    <cellStyle name="20% - Accent2 2 2 18" xfId="11200"/>
    <cellStyle name="20% - Accent2 2 2 18 2" xfId="33975"/>
    <cellStyle name="20% - Accent2 2 2 19" xfId="11856"/>
    <cellStyle name="20% - Accent2 2 2 19 2" xfId="34631"/>
    <cellStyle name="20% - Accent2 2 2 2" xfId="560"/>
    <cellStyle name="20% - Accent2 2 2 2 10" xfId="6793"/>
    <cellStyle name="20% - Accent2 2 2 2 10 2" xfId="29568"/>
    <cellStyle name="20% - Accent2 2 2 2 11" xfId="7449"/>
    <cellStyle name="20% - Accent2 2 2 2 11 2" xfId="30224"/>
    <cellStyle name="20% - Accent2 2 2 2 12" xfId="8105"/>
    <cellStyle name="20% - Accent2 2 2 2 12 2" xfId="30880"/>
    <cellStyle name="20% - Accent2 2 2 2 13" xfId="8761"/>
    <cellStyle name="20% - Accent2 2 2 2 13 2" xfId="31536"/>
    <cellStyle name="20% - Accent2 2 2 2 14" xfId="9417"/>
    <cellStyle name="20% - Accent2 2 2 2 14 2" xfId="32192"/>
    <cellStyle name="20% - Accent2 2 2 2 15" xfId="10073"/>
    <cellStyle name="20% - Accent2 2 2 2 15 2" xfId="32848"/>
    <cellStyle name="20% - Accent2 2 2 2 16" xfId="10729"/>
    <cellStyle name="20% - Accent2 2 2 2 16 2" xfId="33504"/>
    <cellStyle name="20% - Accent2 2 2 2 17" xfId="11385"/>
    <cellStyle name="20% - Accent2 2 2 2 17 2" xfId="34160"/>
    <cellStyle name="20% - Accent2 2 2 2 18" xfId="12041"/>
    <cellStyle name="20% - Accent2 2 2 2 18 2" xfId="34816"/>
    <cellStyle name="20% - Accent2 2 2 2 19" xfId="12697"/>
    <cellStyle name="20% - Accent2 2 2 2 19 2" xfId="35472"/>
    <cellStyle name="20% - Accent2 2 2 2 2" xfId="889"/>
    <cellStyle name="20% - Accent2 2 2 2 2 10" xfId="8433"/>
    <cellStyle name="20% - Accent2 2 2 2 2 10 2" xfId="31208"/>
    <cellStyle name="20% - Accent2 2 2 2 2 11" xfId="9089"/>
    <cellStyle name="20% - Accent2 2 2 2 2 11 2" xfId="31864"/>
    <cellStyle name="20% - Accent2 2 2 2 2 12" xfId="9745"/>
    <cellStyle name="20% - Accent2 2 2 2 2 12 2" xfId="32520"/>
    <cellStyle name="20% - Accent2 2 2 2 2 13" xfId="10401"/>
    <cellStyle name="20% - Accent2 2 2 2 2 13 2" xfId="33176"/>
    <cellStyle name="20% - Accent2 2 2 2 2 14" xfId="11057"/>
    <cellStyle name="20% - Accent2 2 2 2 2 14 2" xfId="33832"/>
    <cellStyle name="20% - Accent2 2 2 2 2 15" xfId="11713"/>
    <cellStyle name="20% - Accent2 2 2 2 2 15 2" xfId="34488"/>
    <cellStyle name="20% - Accent2 2 2 2 2 16" xfId="12369"/>
    <cellStyle name="20% - Accent2 2 2 2 2 16 2" xfId="35144"/>
    <cellStyle name="20% - Accent2 2 2 2 2 17" xfId="13025"/>
    <cellStyle name="20% - Accent2 2 2 2 2 17 2" xfId="35800"/>
    <cellStyle name="20% - Accent2 2 2 2 2 18" xfId="13681"/>
    <cellStyle name="20% - Accent2 2 2 2 2 18 2" xfId="36456"/>
    <cellStyle name="20% - Accent2 2 2 2 2 19" xfId="14337"/>
    <cellStyle name="20% - Accent2 2 2 2 2 19 2" xfId="37112"/>
    <cellStyle name="20% - Accent2 2 2 2 2 2" xfId="1545"/>
    <cellStyle name="20% - Accent2 2 2 2 2 2 2" xfId="3841"/>
    <cellStyle name="20% - Accent2 2 2 2 2 2 2 2" xfId="26616"/>
    <cellStyle name="20% - Accent2 2 2 2 2 2 3" xfId="24320"/>
    <cellStyle name="20% - Accent2 2 2 2 2 20" xfId="14993"/>
    <cellStyle name="20% - Accent2 2 2 2 2 20 2" xfId="37768"/>
    <cellStyle name="20% - Accent2 2 2 2 2 21" xfId="15649"/>
    <cellStyle name="20% - Accent2 2 2 2 2 21 2" xfId="38424"/>
    <cellStyle name="20% - Accent2 2 2 2 2 22" xfId="16305"/>
    <cellStyle name="20% - Accent2 2 2 2 2 22 2" xfId="39080"/>
    <cellStyle name="20% - Accent2 2 2 2 2 23" xfId="16961"/>
    <cellStyle name="20% - Accent2 2 2 2 2 23 2" xfId="39736"/>
    <cellStyle name="20% - Accent2 2 2 2 2 24" xfId="17617"/>
    <cellStyle name="20% - Accent2 2 2 2 2 24 2" xfId="40392"/>
    <cellStyle name="20% - Accent2 2 2 2 2 25" xfId="18273"/>
    <cellStyle name="20% - Accent2 2 2 2 2 25 2" xfId="41048"/>
    <cellStyle name="20% - Accent2 2 2 2 2 26" xfId="18929"/>
    <cellStyle name="20% - Accent2 2 2 2 2 26 2" xfId="41704"/>
    <cellStyle name="20% - Accent2 2 2 2 2 27" xfId="19585"/>
    <cellStyle name="20% - Accent2 2 2 2 2 27 2" xfId="42360"/>
    <cellStyle name="20% - Accent2 2 2 2 2 28" xfId="20241"/>
    <cellStyle name="20% - Accent2 2 2 2 2 28 2" xfId="43016"/>
    <cellStyle name="20% - Accent2 2 2 2 2 29" xfId="20897"/>
    <cellStyle name="20% - Accent2 2 2 2 2 29 2" xfId="43672"/>
    <cellStyle name="20% - Accent2 2 2 2 2 3" xfId="2201"/>
    <cellStyle name="20% - Accent2 2 2 2 2 3 2" xfId="4497"/>
    <cellStyle name="20% - Accent2 2 2 2 2 3 2 2" xfId="27272"/>
    <cellStyle name="20% - Accent2 2 2 2 2 3 3" xfId="24976"/>
    <cellStyle name="20% - Accent2 2 2 2 2 30" xfId="21553"/>
    <cellStyle name="20% - Accent2 2 2 2 2 30 2" xfId="44328"/>
    <cellStyle name="20% - Accent2 2 2 2 2 31" xfId="22209"/>
    <cellStyle name="20% - Accent2 2 2 2 2 31 2" xfId="44984"/>
    <cellStyle name="20% - Accent2 2 2 2 2 32" xfId="22865"/>
    <cellStyle name="20% - Accent2 2 2 2 2 32 2" xfId="45640"/>
    <cellStyle name="20% - Accent2 2 2 2 2 33" xfId="23664"/>
    <cellStyle name="20% - Accent2 2 2 2 2 4" xfId="5153"/>
    <cellStyle name="20% - Accent2 2 2 2 2 4 2" xfId="27928"/>
    <cellStyle name="20% - Accent2 2 2 2 2 5" xfId="5809"/>
    <cellStyle name="20% - Accent2 2 2 2 2 5 2" xfId="28584"/>
    <cellStyle name="20% - Accent2 2 2 2 2 6" xfId="6465"/>
    <cellStyle name="20% - Accent2 2 2 2 2 6 2" xfId="29240"/>
    <cellStyle name="20% - Accent2 2 2 2 2 7" xfId="3185"/>
    <cellStyle name="20% - Accent2 2 2 2 2 7 2" xfId="25960"/>
    <cellStyle name="20% - Accent2 2 2 2 2 8" xfId="7121"/>
    <cellStyle name="20% - Accent2 2 2 2 2 8 2" xfId="29896"/>
    <cellStyle name="20% - Accent2 2 2 2 2 9" xfId="7777"/>
    <cellStyle name="20% - Accent2 2 2 2 2 9 2" xfId="30552"/>
    <cellStyle name="20% - Accent2 2 2 2 20" xfId="13353"/>
    <cellStyle name="20% - Accent2 2 2 2 20 2" xfId="36128"/>
    <cellStyle name="20% - Accent2 2 2 2 21" xfId="14009"/>
    <cellStyle name="20% - Accent2 2 2 2 21 2" xfId="36784"/>
    <cellStyle name="20% - Accent2 2 2 2 22" xfId="14665"/>
    <cellStyle name="20% - Accent2 2 2 2 22 2" xfId="37440"/>
    <cellStyle name="20% - Accent2 2 2 2 23" xfId="15321"/>
    <cellStyle name="20% - Accent2 2 2 2 23 2" xfId="38096"/>
    <cellStyle name="20% - Accent2 2 2 2 24" xfId="15977"/>
    <cellStyle name="20% - Accent2 2 2 2 24 2" xfId="38752"/>
    <cellStyle name="20% - Accent2 2 2 2 25" xfId="16633"/>
    <cellStyle name="20% - Accent2 2 2 2 25 2" xfId="39408"/>
    <cellStyle name="20% - Accent2 2 2 2 26" xfId="17289"/>
    <cellStyle name="20% - Accent2 2 2 2 26 2" xfId="40064"/>
    <cellStyle name="20% - Accent2 2 2 2 27" xfId="17945"/>
    <cellStyle name="20% - Accent2 2 2 2 27 2" xfId="40720"/>
    <cellStyle name="20% - Accent2 2 2 2 28" xfId="18601"/>
    <cellStyle name="20% - Accent2 2 2 2 28 2" xfId="41376"/>
    <cellStyle name="20% - Accent2 2 2 2 29" xfId="19257"/>
    <cellStyle name="20% - Accent2 2 2 2 29 2" xfId="42032"/>
    <cellStyle name="20% - Accent2 2 2 2 3" xfId="1217"/>
    <cellStyle name="20% - Accent2 2 2 2 3 2" xfId="2857"/>
    <cellStyle name="20% - Accent2 2 2 2 3 2 2" xfId="25632"/>
    <cellStyle name="20% - Accent2 2 2 2 3 3" xfId="23992"/>
    <cellStyle name="20% - Accent2 2 2 2 30" xfId="19913"/>
    <cellStyle name="20% - Accent2 2 2 2 30 2" xfId="42688"/>
    <cellStyle name="20% - Accent2 2 2 2 31" xfId="20569"/>
    <cellStyle name="20% - Accent2 2 2 2 31 2" xfId="43344"/>
    <cellStyle name="20% - Accent2 2 2 2 32" xfId="21225"/>
    <cellStyle name="20% - Accent2 2 2 2 32 2" xfId="44000"/>
    <cellStyle name="20% - Accent2 2 2 2 33" xfId="21881"/>
    <cellStyle name="20% - Accent2 2 2 2 33 2" xfId="44656"/>
    <cellStyle name="20% - Accent2 2 2 2 34" xfId="22537"/>
    <cellStyle name="20% - Accent2 2 2 2 34 2" xfId="45312"/>
    <cellStyle name="20% - Accent2 2 2 2 35" xfId="23336"/>
    <cellStyle name="20% - Accent2 2 2 2 4" xfId="1873"/>
    <cellStyle name="20% - Accent2 2 2 2 4 2" xfId="3513"/>
    <cellStyle name="20% - Accent2 2 2 2 4 2 2" xfId="26288"/>
    <cellStyle name="20% - Accent2 2 2 2 4 3" xfId="24648"/>
    <cellStyle name="20% - Accent2 2 2 2 5" xfId="4169"/>
    <cellStyle name="20% - Accent2 2 2 2 5 2" xfId="26944"/>
    <cellStyle name="20% - Accent2 2 2 2 6" xfId="4825"/>
    <cellStyle name="20% - Accent2 2 2 2 6 2" xfId="27600"/>
    <cellStyle name="20% - Accent2 2 2 2 7" xfId="5481"/>
    <cellStyle name="20% - Accent2 2 2 2 7 2" xfId="28256"/>
    <cellStyle name="20% - Accent2 2 2 2 8" xfId="6137"/>
    <cellStyle name="20% - Accent2 2 2 2 8 2" xfId="28912"/>
    <cellStyle name="20% - Accent2 2 2 2 9" xfId="2529"/>
    <cellStyle name="20% - Accent2 2 2 2 9 2" xfId="25304"/>
    <cellStyle name="20% - Accent2 2 2 20" xfId="12512"/>
    <cellStyle name="20% - Accent2 2 2 20 2" xfId="35287"/>
    <cellStyle name="20% - Accent2 2 2 21" xfId="13168"/>
    <cellStyle name="20% - Accent2 2 2 21 2" xfId="35943"/>
    <cellStyle name="20% - Accent2 2 2 22" xfId="13824"/>
    <cellStyle name="20% - Accent2 2 2 22 2" xfId="36599"/>
    <cellStyle name="20% - Accent2 2 2 23" xfId="14480"/>
    <cellStyle name="20% - Accent2 2 2 23 2" xfId="37255"/>
    <cellStyle name="20% - Accent2 2 2 24" xfId="15136"/>
    <cellStyle name="20% - Accent2 2 2 24 2" xfId="37911"/>
    <cellStyle name="20% - Accent2 2 2 25" xfId="15792"/>
    <cellStyle name="20% - Accent2 2 2 25 2" xfId="38567"/>
    <cellStyle name="20% - Accent2 2 2 26" xfId="16448"/>
    <cellStyle name="20% - Accent2 2 2 26 2" xfId="39223"/>
    <cellStyle name="20% - Accent2 2 2 27" xfId="17104"/>
    <cellStyle name="20% - Accent2 2 2 27 2" xfId="39879"/>
    <cellStyle name="20% - Accent2 2 2 28" xfId="17760"/>
    <cellStyle name="20% - Accent2 2 2 28 2" xfId="40535"/>
    <cellStyle name="20% - Accent2 2 2 29" xfId="18416"/>
    <cellStyle name="20% - Accent2 2 2 29 2" xfId="41191"/>
    <cellStyle name="20% - Accent2 2 2 3" xfId="704"/>
    <cellStyle name="20% - Accent2 2 2 3 10" xfId="8248"/>
    <cellStyle name="20% - Accent2 2 2 3 10 2" xfId="31023"/>
    <cellStyle name="20% - Accent2 2 2 3 11" xfId="8904"/>
    <cellStyle name="20% - Accent2 2 2 3 11 2" xfId="31679"/>
    <cellStyle name="20% - Accent2 2 2 3 12" xfId="9560"/>
    <cellStyle name="20% - Accent2 2 2 3 12 2" xfId="32335"/>
    <cellStyle name="20% - Accent2 2 2 3 13" xfId="10216"/>
    <cellStyle name="20% - Accent2 2 2 3 13 2" xfId="32991"/>
    <cellStyle name="20% - Accent2 2 2 3 14" xfId="10872"/>
    <cellStyle name="20% - Accent2 2 2 3 14 2" xfId="33647"/>
    <cellStyle name="20% - Accent2 2 2 3 15" xfId="11528"/>
    <cellStyle name="20% - Accent2 2 2 3 15 2" xfId="34303"/>
    <cellStyle name="20% - Accent2 2 2 3 16" xfId="12184"/>
    <cellStyle name="20% - Accent2 2 2 3 16 2" xfId="34959"/>
    <cellStyle name="20% - Accent2 2 2 3 17" xfId="12840"/>
    <cellStyle name="20% - Accent2 2 2 3 17 2" xfId="35615"/>
    <cellStyle name="20% - Accent2 2 2 3 18" xfId="13496"/>
    <cellStyle name="20% - Accent2 2 2 3 18 2" xfId="36271"/>
    <cellStyle name="20% - Accent2 2 2 3 19" xfId="14152"/>
    <cellStyle name="20% - Accent2 2 2 3 19 2" xfId="36927"/>
    <cellStyle name="20% - Accent2 2 2 3 2" xfId="1360"/>
    <cellStyle name="20% - Accent2 2 2 3 2 2" xfId="3656"/>
    <cellStyle name="20% - Accent2 2 2 3 2 2 2" xfId="26431"/>
    <cellStyle name="20% - Accent2 2 2 3 2 3" xfId="24135"/>
    <cellStyle name="20% - Accent2 2 2 3 20" xfId="14808"/>
    <cellStyle name="20% - Accent2 2 2 3 20 2" xfId="37583"/>
    <cellStyle name="20% - Accent2 2 2 3 21" xfId="15464"/>
    <cellStyle name="20% - Accent2 2 2 3 21 2" xfId="38239"/>
    <cellStyle name="20% - Accent2 2 2 3 22" xfId="16120"/>
    <cellStyle name="20% - Accent2 2 2 3 22 2" xfId="38895"/>
    <cellStyle name="20% - Accent2 2 2 3 23" xfId="16776"/>
    <cellStyle name="20% - Accent2 2 2 3 23 2" xfId="39551"/>
    <cellStyle name="20% - Accent2 2 2 3 24" xfId="17432"/>
    <cellStyle name="20% - Accent2 2 2 3 24 2" xfId="40207"/>
    <cellStyle name="20% - Accent2 2 2 3 25" xfId="18088"/>
    <cellStyle name="20% - Accent2 2 2 3 25 2" xfId="40863"/>
    <cellStyle name="20% - Accent2 2 2 3 26" xfId="18744"/>
    <cellStyle name="20% - Accent2 2 2 3 26 2" xfId="41519"/>
    <cellStyle name="20% - Accent2 2 2 3 27" xfId="19400"/>
    <cellStyle name="20% - Accent2 2 2 3 27 2" xfId="42175"/>
    <cellStyle name="20% - Accent2 2 2 3 28" xfId="20056"/>
    <cellStyle name="20% - Accent2 2 2 3 28 2" xfId="42831"/>
    <cellStyle name="20% - Accent2 2 2 3 29" xfId="20712"/>
    <cellStyle name="20% - Accent2 2 2 3 29 2" xfId="43487"/>
    <cellStyle name="20% - Accent2 2 2 3 3" xfId="2016"/>
    <cellStyle name="20% - Accent2 2 2 3 3 2" xfId="4312"/>
    <cellStyle name="20% - Accent2 2 2 3 3 2 2" xfId="27087"/>
    <cellStyle name="20% - Accent2 2 2 3 3 3" xfId="24791"/>
    <cellStyle name="20% - Accent2 2 2 3 30" xfId="21368"/>
    <cellStyle name="20% - Accent2 2 2 3 30 2" xfId="44143"/>
    <cellStyle name="20% - Accent2 2 2 3 31" xfId="22024"/>
    <cellStyle name="20% - Accent2 2 2 3 31 2" xfId="44799"/>
    <cellStyle name="20% - Accent2 2 2 3 32" xfId="22680"/>
    <cellStyle name="20% - Accent2 2 2 3 32 2" xfId="45455"/>
    <cellStyle name="20% - Accent2 2 2 3 33" xfId="23479"/>
    <cellStyle name="20% - Accent2 2 2 3 4" xfId="4968"/>
    <cellStyle name="20% - Accent2 2 2 3 4 2" xfId="27743"/>
    <cellStyle name="20% - Accent2 2 2 3 5" xfId="5624"/>
    <cellStyle name="20% - Accent2 2 2 3 5 2" xfId="28399"/>
    <cellStyle name="20% - Accent2 2 2 3 6" xfId="6280"/>
    <cellStyle name="20% - Accent2 2 2 3 6 2" xfId="29055"/>
    <cellStyle name="20% - Accent2 2 2 3 7" xfId="3000"/>
    <cellStyle name="20% - Accent2 2 2 3 7 2" xfId="25775"/>
    <cellStyle name="20% - Accent2 2 2 3 8" xfId="6936"/>
    <cellStyle name="20% - Accent2 2 2 3 8 2" xfId="29711"/>
    <cellStyle name="20% - Accent2 2 2 3 9" xfId="7592"/>
    <cellStyle name="20% - Accent2 2 2 3 9 2" xfId="30367"/>
    <cellStyle name="20% - Accent2 2 2 30" xfId="19072"/>
    <cellStyle name="20% - Accent2 2 2 30 2" xfId="41847"/>
    <cellStyle name="20% - Accent2 2 2 31" xfId="19728"/>
    <cellStyle name="20% - Accent2 2 2 31 2" xfId="42503"/>
    <cellStyle name="20% - Accent2 2 2 32" xfId="20384"/>
    <cellStyle name="20% - Accent2 2 2 32 2" xfId="43159"/>
    <cellStyle name="20% - Accent2 2 2 33" xfId="21040"/>
    <cellStyle name="20% - Accent2 2 2 33 2" xfId="43815"/>
    <cellStyle name="20% - Accent2 2 2 34" xfId="21696"/>
    <cellStyle name="20% - Accent2 2 2 34 2" xfId="44471"/>
    <cellStyle name="20% - Accent2 2 2 35" xfId="22352"/>
    <cellStyle name="20% - Accent2 2 2 35 2" xfId="45127"/>
    <cellStyle name="20% - Accent2 2 2 36" xfId="23008"/>
    <cellStyle name="20% - Accent2 2 2 4" xfId="377"/>
    <cellStyle name="20% - Accent2 2 2 4 2" xfId="2672"/>
    <cellStyle name="20% - Accent2 2 2 4 2 2" xfId="25447"/>
    <cellStyle name="20% - Accent2 2 2 4 3" xfId="23151"/>
    <cellStyle name="20% - Accent2 2 2 5" xfId="1032"/>
    <cellStyle name="20% - Accent2 2 2 5 2" xfId="3328"/>
    <cellStyle name="20% - Accent2 2 2 5 2 2" xfId="26103"/>
    <cellStyle name="20% - Accent2 2 2 5 3" xfId="23807"/>
    <cellStyle name="20% - Accent2 2 2 6" xfId="1688"/>
    <cellStyle name="20% - Accent2 2 2 6 2" xfId="3984"/>
    <cellStyle name="20% - Accent2 2 2 6 2 2" xfId="26759"/>
    <cellStyle name="20% - Accent2 2 2 6 3" xfId="24463"/>
    <cellStyle name="20% - Accent2 2 2 7" xfId="4640"/>
    <cellStyle name="20% - Accent2 2 2 7 2" xfId="27415"/>
    <cellStyle name="20% - Accent2 2 2 8" xfId="5296"/>
    <cellStyle name="20% - Accent2 2 2 8 2" xfId="28071"/>
    <cellStyle name="20% - Accent2 2 2 9" xfId="5952"/>
    <cellStyle name="20% - Accent2 2 2 9 2" xfId="28727"/>
    <cellStyle name="20% - Accent2 2 20" xfId="11770"/>
    <cellStyle name="20% - Accent2 2 20 2" xfId="34545"/>
    <cellStyle name="20% - Accent2 2 21" xfId="12426"/>
    <cellStyle name="20% - Accent2 2 21 2" xfId="35201"/>
    <cellStyle name="20% - Accent2 2 22" xfId="13082"/>
    <cellStyle name="20% - Accent2 2 22 2" xfId="35857"/>
    <cellStyle name="20% - Accent2 2 23" xfId="13738"/>
    <cellStyle name="20% - Accent2 2 23 2" xfId="36513"/>
    <cellStyle name="20% - Accent2 2 24" xfId="14394"/>
    <cellStyle name="20% - Accent2 2 24 2" xfId="37169"/>
    <cellStyle name="20% - Accent2 2 25" xfId="15050"/>
    <cellStyle name="20% - Accent2 2 25 2" xfId="37825"/>
    <cellStyle name="20% - Accent2 2 26" xfId="15706"/>
    <cellStyle name="20% - Accent2 2 26 2" xfId="38481"/>
    <cellStyle name="20% - Accent2 2 27" xfId="16362"/>
    <cellStyle name="20% - Accent2 2 27 2" xfId="39137"/>
    <cellStyle name="20% - Accent2 2 28" xfId="17018"/>
    <cellStyle name="20% - Accent2 2 28 2" xfId="39793"/>
    <cellStyle name="20% - Accent2 2 29" xfId="17674"/>
    <cellStyle name="20% - Accent2 2 29 2" xfId="40449"/>
    <cellStyle name="20% - Accent2 2 3" xfId="476"/>
    <cellStyle name="20% - Accent2 2 3 10" xfId="6707"/>
    <cellStyle name="20% - Accent2 2 3 10 2" xfId="29482"/>
    <cellStyle name="20% - Accent2 2 3 11" xfId="7363"/>
    <cellStyle name="20% - Accent2 2 3 11 2" xfId="30138"/>
    <cellStyle name="20% - Accent2 2 3 12" xfId="8019"/>
    <cellStyle name="20% - Accent2 2 3 12 2" xfId="30794"/>
    <cellStyle name="20% - Accent2 2 3 13" xfId="8675"/>
    <cellStyle name="20% - Accent2 2 3 13 2" xfId="31450"/>
    <cellStyle name="20% - Accent2 2 3 14" xfId="9331"/>
    <cellStyle name="20% - Accent2 2 3 14 2" xfId="32106"/>
    <cellStyle name="20% - Accent2 2 3 15" xfId="9987"/>
    <cellStyle name="20% - Accent2 2 3 15 2" xfId="32762"/>
    <cellStyle name="20% - Accent2 2 3 16" xfId="10643"/>
    <cellStyle name="20% - Accent2 2 3 16 2" xfId="33418"/>
    <cellStyle name="20% - Accent2 2 3 17" xfId="11299"/>
    <cellStyle name="20% - Accent2 2 3 17 2" xfId="34074"/>
    <cellStyle name="20% - Accent2 2 3 18" xfId="11955"/>
    <cellStyle name="20% - Accent2 2 3 18 2" xfId="34730"/>
    <cellStyle name="20% - Accent2 2 3 19" xfId="12611"/>
    <cellStyle name="20% - Accent2 2 3 19 2" xfId="35386"/>
    <cellStyle name="20% - Accent2 2 3 2" xfId="803"/>
    <cellStyle name="20% - Accent2 2 3 2 10" xfId="8347"/>
    <cellStyle name="20% - Accent2 2 3 2 10 2" xfId="31122"/>
    <cellStyle name="20% - Accent2 2 3 2 11" xfId="9003"/>
    <cellStyle name="20% - Accent2 2 3 2 11 2" xfId="31778"/>
    <cellStyle name="20% - Accent2 2 3 2 12" xfId="9659"/>
    <cellStyle name="20% - Accent2 2 3 2 12 2" xfId="32434"/>
    <cellStyle name="20% - Accent2 2 3 2 13" xfId="10315"/>
    <cellStyle name="20% - Accent2 2 3 2 13 2" xfId="33090"/>
    <cellStyle name="20% - Accent2 2 3 2 14" xfId="10971"/>
    <cellStyle name="20% - Accent2 2 3 2 14 2" xfId="33746"/>
    <cellStyle name="20% - Accent2 2 3 2 15" xfId="11627"/>
    <cellStyle name="20% - Accent2 2 3 2 15 2" xfId="34402"/>
    <cellStyle name="20% - Accent2 2 3 2 16" xfId="12283"/>
    <cellStyle name="20% - Accent2 2 3 2 16 2" xfId="35058"/>
    <cellStyle name="20% - Accent2 2 3 2 17" xfId="12939"/>
    <cellStyle name="20% - Accent2 2 3 2 17 2" xfId="35714"/>
    <cellStyle name="20% - Accent2 2 3 2 18" xfId="13595"/>
    <cellStyle name="20% - Accent2 2 3 2 18 2" xfId="36370"/>
    <cellStyle name="20% - Accent2 2 3 2 19" xfId="14251"/>
    <cellStyle name="20% - Accent2 2 3 2 19 2" xfId="37026"/>
    <cellStyle name="20% - Accent2 2 3 2 2" xfId="1459"/>
    <cellStyle name="20% - Accent2 2 3 2 2 2" xfId="3755"/>
    <cellStyle name="20% - Accent2 2 3 2 2 2 2" xfId="26530"/>
    <cellStyle name="20% - Accent2 2 3 2 2 3" xfId="24234"/>
    <cellStyle name="20% - Accent2 2 3 2 20" xfId="14907"/>
    <cellStyle name="20% - Accent2 2 3 2 20 2" xfId="37682"/>
    <cellStyle name="20% - Accent2 2 3 2 21" xfId="15563"/>
    <cellStyle name="20% - Accent2 2 3 2 21 2" xfId="38338"/>
    <cellStyle name="20% - Accent2 2 3 2 22" xfId="16219"/>
    <cellStyle name="20% - Accent2 2 3 2 22 2" xfId="38994"/>
    <cellStyle name="20% - Accent2 2 3 2 23" xfId="16875"/>
    <cellStyle name="20% - Accent2 2 3 2 23 2" xfId="39650"/>
    <cellStyle name="20% - Accent2 2 3 2 24" xfId="17531"/>
    <cellStyle name="20% - Accent2 2 3 2 24 2" xfId="40306"/>
    <cellStyle name="20% - Accent2 2 3 2 25" xfId="18187"/>
    <cellStyle name="20% - Accent2 2 3 2 25 2" xfId="40962"/>
    <cellStyle name="20% - Accent2 2 3 2 26" xfId="18843"/>
    <cellStyle name="20% - Accent2 2 3 2 26 2" xfId="41618"/>
    <cellStyle name="20% - Accent2 2 3 2 27" xfId="19499"/>
    <cellStyle name="20% - Accent2 2 3 2 27 2" xfId="42274"/>
    <cellStyle name="20% - Accent2 2 3 2 28" xfId="20155"/>
    <cellStyle name="20% - Accent2 2 3 2 28 2" xfId="42930"/>
    <cellStyle name="20% - Accent2 2 3 2 29" xfId="20811"/>
    <cellStyle name="20% - Accent2 2 3 2 29 2" xfId="43586"/>
    <cellStyle name="20% - Accent2 2 3 2 3" xfId="2115"/>
    <cellStyle name="20% - Accent2 2 3 2 3 2" xfId="4411"/>
    <cellStyle name="20% - Accent2 2 3 2 3 2 2" xfId="27186"/>
    <cellStyle name="20% - Accent2 2 3 2 3 3" xfId="24890"/>
    <cellStyle name="20% - Accent2 2 3 2 30" xfId="21467"/>
    <cellStyle name="20% - Accent2 2 3 2 30 2" xfId="44242"/>
    <cellStyle name="20% - Accent2 2 3 2 31" xfId="22123"/>
    <cellStyle name="20% - Accent2 2 3 2 31 2" xfId="44898"/>
    <cellStyle name="20% - Accent2 2 3 2 32" xfId="22779"/>
    <cellStyle name="20% - Accent2 2 3 2 32 2" xfId="45554"/>
    <cellStyle name="20% - Accent2 2 3 2 33" xfId="23578"/>
    <cellStyle name="20% - Accent2 2 3 2 4" xfId="5067"/>
    <cellStyle name="20% - Accent2 2 3 2 4 2" xfId="27842"/>
    <cellStyle name="20% - Accent2 2 3 2 5" xfId="5723"/>
    <cellStyle name="20% - Accent2 2 3 2 5 2" xfId="28498"/>
    <cellStyle name="20% - Accent2 2 3 2 6" xfId="6379"/>
    <cellStyle name="20% - Accent2 2 3 2 6 2" xfId="29154"/>
    <cellStyle name="20% - Accent2 2 3 2 7" xfId="3099"/>
    <cellStyle name="20% - Accent2 2 3 2 7 2" xfId="25874"/>
    <cellStyle name="20% - Accent2 2 3 2 8" xfId="7035"/>
    <cellStyle name="20% - Accent2 2 3 2 8 2" xfId="29810"/>
    <cellStyle name="20% - Accent2 2 3 2 9" xfId="7691"/>
    <cellStyle name="20% - Accent2 2 3 2 9 2" xfId="30466"/>
    <cellStyle name="20% - Accent2 2 3 20" xfId="13267"/>
    <cellStyle name="20% - Accent2 2 3 20 2" xfId="36042"/>
    <cellStyle name="20% - Accent2 2 3 21" xfId="13923"/>
    <cellStyle name="20% - Accent2 2 3 21 2" xfId="36698"/>
    <cellStyle name="20% - Accent2 2 3 22" xfId="14579"/>
    <cellStyle name="20% - Accent2 2 3 22 2" xfId="37354"/>
    <cellStyle name="20% - Accent2 2 3 23" xfId="15235"/>
    <cellStyle name="20% - Accent2 2 3 23 2" xfId="38010"/>
    <cellStyle name="20% - Accent2 2 3 24" xfId="15891"/>
    <cellStyle name="20% - Accent2 2 3 24 2" xfId="38666"/>
    <cellStyle name="20% - Accent2 2 3 25" xfId="16547"/>
    <cellStyle name="20% - Accent2 2 3 25 2" xfId="39322"/>
    <cellStyle name="20% - Accent2 2 3 26" xfId="17203"/>
    <cellStyle name="20% - Accent2 2 3 26 2" xfId="39978"/>
    <cellStyle name="20% - Accent2 2 3 27" xfId="17859"/>
    <cellStyle name="20% - Accent2 2 3 27 2" xfId="40634"/>
    <cellStyle name="20% - Accent2 2 3 28" xfId="18515"/>
    <cellStyle name="20% - Accent2 2 3 28 2" xfId="41290"/>
    <cellStyle name="20% - Accent2 2 3 29" xfId="19171"/>
    <cellStyle name="20% - Accent2 2 3 29 2" xfId="41946"/>
    <cellStyle name="20% - Accent2 2 3 3" xfId="1131"/>
    <cellStyle name="20% - Accent2 2 3 3 2" xfId="2771"/>
    <cellStyle name="20% - Accent2 2 3 3 2 2" xfId="25546"/>
    <cellStyle name="20% - Accent2 2 3 3 3" xfId="23906"/>
    <cellStyle name="20% - Accent2 2 3 30" xfId="19827"/>
    <cellStyle name="20% - Accent2 2 3 30 2" xfId="42602"/>
    <cellStyle name="20% - Accent2 2 3 31" xfId="20483"/>
    <cellStyle name="20% - Accent2 2 3 31 2" xfId="43258"/>
    <cellStyle name="20% - Accent2 2 3 32" xfId="21139"/>
    <cellStyle name="20% - Accent2 2 3 32 2" xfId="43914"/>
    <cellStyle name="20% - Accent2 2 3 33" xfId="21795"/>
    <cellStyle name="20% - Accent2 2 3 33 2" xfId="44570"/>
    <cellStyle name="20% - Accent2 2 3 34" xfId="22451"/>
    <cellStyle name="20% - Accent2 2 3 34 2" xfId="45226"/>
    <cellStyle name="20% - Accent2 2 3 35" xfId="23250"/>
    <cellStyle name="20% - Accent2 2 3 4" xfId="1787"/>
    <cellStyle name="20% - Accent2 2 3 4 2" xfId="3427"/>
    <cellStyle name="20% - Accent2 2 3 4 2 2" xfId="26202"/>
    <cellStyle name="20% - Accent2 2 3 4 3" xfId="24562"/>
    <cellStyle name="20% - Accent2 2 3 5" xfId="4083"/>
    <cellStyle name="20% - Accent2 2 3 5 2" xfId="26858"/>
    <cellStyle name="20% - Accent2 2 3 6" xfId="4739"/>
    <cellStyle name="20% - Accent2 2 3 6 2" xfId="27514"/>
    <cellStyle name="20% - Accent2 2 3 7" xfId="5395"/>
    <cellStyle name="20% - Accent2 2 3 7 2" xfId="28170"/>
    <cellStyle name="20% - Accent2 2 3 8" xfId="6051"/>
    <cellStyle name="20% - Accent2 2 3 8 2" xfId="28826"/>
    <cellStyle name="20% - Accent2 2 3 9" xfId="2443"/>
    <cellStyle name="20% - Accent2 2 3 9 2" xfId="25218"/>
    <cellStyle name="20% - Accent2 2 30" xfId="18330"/>
    <cellStyle name="20% - Accent2 2 30 2" xfId="41105"/>
    <cellStyle name="20% - Accent2 2 31" xfId="18986"/>
    <cellStyle name="20% - Accent2 2 31 2" xfId="41761"/>
    <cellStyle name="20% - Accent2 2 32" xfId="19642"/>
    <cellStyle name="20% - Accent2 2 32 2" xfId="42417"/>
    <cellStyle name="20% - Accent2 2 33" xfId="20298"/>
    <cellStyle name="20% - Accent2 2 33 2" xfId="43073"/>
    <cellStyle name="20% - Accent2 2 34" xfId="20954"/>
    <cellStyle name="20% - Accent2 2 34 2" xfId="43729"/>
    <cellStyle name="20% - Accent2 2 35" xfId="21610"/>
    <cellStyle name="20% - Accent2 2 35 2" xfId="44385"/>
    <cellStyle name="20% - Accent2 2 36" xfId="22266"/>
    <cellStyle name="20% - Accent2 2 36 2" xfId="45041"/>
    <cellStyle name="20% - Accent2 2 37" xfId="205"/>
    <cellStyle name="20% - Accent2 2 38" xfId="22922"/>
    <cellStyle name="20% - Accent2 2 4" xfId="618"/>
    <cellStyle name="20% - Accent2 2 4 10" xfId="8162"/>
    <cellStyle name="20% - Accent2 2 4 10 2" xfId="30937"/>
    <cellStyle name="20% - Accent2 2 4 11" xfId="8818"/>
    <cellStyle name="20% - Accent2 2 4 11 2" xfId="31593"/>
    <cellStyle name="20% - Accent2 2 4 12" xfId="9474"/>
    <cellStyle name="20% - Accent2 2 4 12 2" xfId="32249"/>
    <cellStyle name="20% - Accent2 2 4 13" xfId="10130"/>
    <cellStyle name="20% - Accent2 2 4 13 2" xfId="32905"/>
    <cellStyle name="20% - Accent2 2 4 14" xfId="10786"/>
    <cellStyle name="20% - Accent2 2 4 14 2" xfId="33561"/>
    <cellStyle name="20% - Accent2 2 4 15" xfId="11442"/>
    <cellStyle name="20% - Accent2 2 4 15 2" xfId="34217"/>
    <cellStyle name="20% - Accent2 2 4 16" xfId="12098"/>
    <cellStyle name="20% - Accent2 2 4 16 2" xfId="34873"/>
    <cellStyle name="20% - Accent2 2 4 17" xfId="12754"/>
    <cellStyle name="20% - Accent2 2 4 17 2" xfId="35529"/>
    <cellStyle name="20% - Accent2 2 4 18" xfId="13410"/>
    <cellStyle name="20% - Accent2 2 4 18 2" xfId="36185"/>
    <cellStyle name="20% - Accent2 2 4 19" xfId="14066"/>
    <cellStyle name="20% - Accent2 2 4 19 2" xfId="36841"/>
    <cellStyle name="20% - Accent2 2 4 2" xfId="1274"/>
    <cellStyle name="20% - Accent2 2 4 2 2" xfId="3570"/>
    <cellStyle name="20% - Accent2 2 4 2 2 2" xfId="26345"/>
    <cellStyle name="20% - Accent2 2 4 2 3" xfId="24049"/>
    <cellStyle name="20% - Accent2 2 4 20" xfId="14722"/>
    <cellStyle name="20% - Accent2 2 4 20 2" xfId="37497"/>
    <cellStyle name="20% - Accent2 2 4 21" xfId="15378"/>
    <cellStyle name="20% - Accent2 2 4 21 2" xfId="38153"/>
    <cellStyle name="20% - Accent2 2 4 22" xfId="16034"/>
    <cellStyle name="20% - Accent2 2 4 22 2" xfId="38809"/>
    <cellStyle name="20% - Accent2 2 4 23" xfId="16690"/>
    <cellStyle name="20% - Accent2 2 4 23 2" xfId="39465"/>
    <cellStyle name="20% - Accent2 2 4 24" xfId="17346"/>
    <cellStyle name="20% - Accent2 2 4 24 2" xfId="40121"/>
    <cellStyle name="20% - Accent2 2 4 25" xfId="18002"/>
    <cellStyle name="20% - Accent2 2 4 25 2" xfId="40777"/>
    <cellStyle name="20% - Accent2 2 4 26" xfId="18658"/>
    <cellStyle name="20% - Accent2 2 4 26 2" xfId="41433"/>
    <cellStyle name="20% - Accent2 2 4 27" xfId="19314"/>
    <cellStyle name="20% - Accent2 2 4 27 2" xfId="42089"/>
    <cellStyle name="20% - Accent2 2 4 28" xfId="19970"/>
    <cellStyle name="20% - Accent2 2 4 28 2" xfId="42745"/>
    <cellStyle name="20% - Accent2 2 4 29" xfId="20626"/>
    <cellStyle name="20% - Accent2 2 4 29 2" xfId="43401"/>
    <cellStyle name="20% - Accent2 2 4 3" xfId="1930"/>
    <cellStyle name="20% - Accent2 2 4 3 2" xfId="4226"/>
    <cellStyle name="20% - Accent2 2 4 3 2 2" xfId="27001"/>
    <cellStyle name="20% - Accent2 2 4 3 3" xfId="24705"/>
    <cellStyle name="20% - Accent2 2 4 30" xfId="21282"/>
    <cellStyle name="20% - Accent2 2 4 30 2" xfId="44057"/>
    <cellStyle name="20% - Accent2 2 4 31" xfId="21938"/>
    <cellStyle name="20% - Accent2 2 4 31 2" xfId="44713"/>
    <cellStyle name="20% - Accent2 2 4 32" xfId="22594"/>
    <cellStyle name="20% - Accent2 2 4 32 2" xfId="45369"/>
    <cellStyle name="20% - Accent2 2 4 33" xfId="23393"/>
    <cellStyle name="20% - Accent2 2 4 4" xfId="4882"/>
    <cellStyle name="20% - Accent2 2 4 4 2" xfId="27657"/>
    <cellStyle name="20% - Accent2 2 4 5" xfId="5538"/>
    <cellStyle name="20% - Accent2 2 4 5 2" xfId="28313"/>
    <cellStyle name="20% - Accent2 2 4 6" xfId="6194"/>
    <cellStyle name="20% - Accent2 2 4 6 2" xfId="28969"/>
    <cellStyle name="20% - Accent2 2 4 7" xfId="2914"/>
    <cellStyle name="20% - Accent2 2 4 7 2" xfId="25689"/>
    <cellStyle name="20% - Accent2 2 4 8" xfId="6850"/>
    <cellStyle name="20% - Accent2 2 4 8 2" xfId="29625"/>
    <cellStyle name="20% - Accent2 2 4 9" xfId="7506"/>
    <cellStyle name="20% - Accent2 2 4 9 2" xfId="30281"/>
    <cellStyle name="20% - Accent2 2 5" xfId="291"/>
    <cellStyle name="20% - Accent2 2 5 2" xfId="2586"/>
    <cellStyle name="20% - Accent2 2 5 2 2" xfId="25361"/>
    <cellStyle name="20% - Accent2 2 5 3" xfId="23065"/>
    <cellStyle name="20% - Accent2 2 6" xfId="946"/>
    <cellStyle name="20% - Accent2 2 6 2" xfId="3242"/>
    <cellStyle name="20% - Accent2 2 6 2 2" xfId="26017"/>
    <cellStyle name="20% - Accent2 2 6 3" xfId="23721"/>
    <cellStyle name="20% - Accent2 2 7" xfId="1602"/>
    <cellStyle name="20% - Accent2 2 7 2" xfId="3898"/>
    <cellStyle name="20% - Accent2 2 7 2 2" xfId="26673"/>
    <cellStyle name="20% - Accent2 2 7 3" xfId="24377"/>
    <cellStyle name="20% - Accent2 2 8" xfId="4554"/>
    <cellStyle name="20% - Accent2 2 8 2" xfId="27329"/>
    <cellStyle name="20% - Accent2 2 9" xfId="5210"/>
    <cellStyle name="20% - Accent2 2 9 2" xfId="27985"/>
    <cellStyle name="20% - Accent2 20" xfId="7162"/>
    <cellStyle name="20% - Accent2 20 2" xfId="29937"/>
    <cellStyle name="20% - Accent2 21" xfId="7818"/>
    <cellStyle name="20% - Accent2 21 2" xfId="30593"/>
    <cellStyle name="20% - Accent2 22" xfId="8474"/>
    <cellStyle name="20% - Accent2 22 2" xfId="31249"/>
    <cellStyle name="20% - Accent2 23" xfId="9130"/>
    <cellStyle name="20% - Accent2 23 2" xfId="31905"/>
    <cellStyle name="20% - Accent2 24" xfId="9786"/>
    <cellStyle name="20% - Accent2 24 2" xfId="32561"/>
    <cellStyle name="20% - Accent2 25" xfId="10442"/>
    <cellStyle name="20% - Accent2 25 2" xfId="33217"/>
    <cellStyle name="20% - Accent2 26" xfId="11098"/>
    <cellStyle name="20% - Accent2 26 2" xfId="33873"/>
    <cellStyle name="20% - Accent2 27" xfId="11754"/>
    <cellStyle name="20% - Accent2 27 2" xfId="34529"/>
    <cellStyle name="20% - Accent2 28" xfId="12410"/>
    <cellStyle name="20% - Accent2 28 2" xfId="35185"/>
    <cellStyle name="20% - Accent2 29" xfId="13066"/>
    <cellStyle name="20% - Accent2 29 2" xfId="35841"/>
    <cellStyle name="20% - Accent2 3" xfId="54"/>
    <cellStyle name="20% - Accent2 3 10" xfId="5881"/>
    <cellStyle name="20% - Accent2 3 10 2" xfId="28656"/>
    <cellStyle name="20% - Accent2 3 11" xfId="2273"/>
    <cellStyle name="20% - Accent2 3 11 2" xfId="25048"/>
    <cellStyle name="20% - Accent2 3 12" xfId="6537"/>
    <cellStyle name="20% - Accent2 3 12 2" xfId="29312"/>
    <cellStyle name="20% - Accent2 3 13" xfId="7193"/>
    <cellStyle name="20% - Accent2 3 13 2" xfId="29968"/>
    <cellStyle name="20% - Accent2 3 14" xfId="7849"/>
    <cellStyle name="20% - Accent2 3 14 2" xfId="30624"/>
    <cellStyle name="20% - Accent2 3 15" xfId="8505"/>
    <cellStyle name="20% - Accent2 3 15 2" xfId="31280"/>
    <cellStyle name="20% - Accent2 3 16" xfId="9161"/>
    <cellStyle name="20% - Accent2 3 16 2" xfId="31936"/>
    <cellStyle name="20% - Accent2 3 17" xfId="9817"/>
    <cellStyle name="20% - Accent2 3 17 2" xfId="32592"/>
    <cellStyle name="20% - Accent2 3 18" xfId="10473"/>
    <cellStyle name="20% - Accent2 3 18 2" xfId="33248"/>
    <cellStyle name="20% - Accent2 3 19" xfId="11129"/>
    <cellStyle name="20% - Accent2 3 19 2" xfId="33904"/>
    <cellStyle name="20% - Accent2 3 2" xfId="132"/>
    <cellStyle name="20% - Accent2 3 2 10" xfId="2328"/>
    <cellStyle name="20% - Accent2 3 2 10 2" xfId="25103"/>
    <cellStyle name="20% - Accent2 3 2 11" xfId="6592"/>
    <cellStyle name="20% - Accent2 3 2 11 2" xfId="29367"/>
    <cellStyle name="20% - Accent2 3 2 12" xfId="7248"/>
    <cellStyle name="20% - Accent2 3 2 12 2" xfId="30023"/>
    <cellStyle name="20% - Accent2 3 2 13" xfId="7904"/>
    <cellStyle name="20% - Accent2 3 2 13 2" xfId="30679"/>
    <cellStyle name="20% - Accent2 3 2 14" xfId="8560"/>
    <cellStyle name="20% - Accent2 3 2 14 2" xfId="31335"/>
    <cellStyle name="20% - Accent2 3 2 15" xfId="9216"/>
    <cellStyle name="20% - Accent2 3 2 15 2" xfId="31991"/>
    <cellStyle name="20% - Accent2 3 2 16" xfId="9872"/>
    <cellStyle name="20% - Accent2 3 2 16 2" xfId="32647"/>
    <cellStyle name="20% - Accent2 3 2 17" xfId="10528"/>
    <cellStyle name="20% - Accent2 3 2 17 2" xfId="33303"/>
    <cellStyle name="20% - Accent2 3 2 18" xfId="11184"/>
    <cellStyle name="20% - Accent2 3 2 18 2" xfId="33959"/>
    <cellStyle name="20% - Accent2 3 2 19" xfId="11840"/>
    <cellStyle name="20% - Accent2 3 2 19 2" xfId="34615"/>
    <cellStyle name="20% - Accent2 3 2 2" xfId="544"/>
    <cellStyle name="20% - Accent2 3 2 2 10" xfId="6777"/>
    <cellStyle name="20% - Accent2 3 2 2 10 2" xfId="29552"/>
    <cellStyle name="20% - Accent2 3 2 2 11" xfId="7433"/>
    <cellStyle name="20% - Accent2 3 2 2 11 2" xfId="30208"/>
    <cellStyle name="20% - Accent2 3 2 2 12" xfId="8089"/>
    <cellStyle name="20% - Accent2 3 2 2 12 2" xfId="30864"/>
    <cellStyle name="20% - Accent2 3 2 2 13" xfId="8745"/>
    <cellStyle name="20% - Accent2 3 2 2 13 2" xfId="31520"/>
    <cellStyle name="20% - Accent2 3 2 2 14" xfId="9401"/>
    <cellStyle name="20% - Accent2 3 2 2 14 2" xfId="32176"/>
    <cellStyle name="20% - Accent2 3 2 2 15" xfId="10057"/>
    <cellStyle name="20% - Accent2 3 2 2 15 2" xfId="32832"/>
    <cellStyle name="20% - Accent2 3 2 2 16" xfId="10713"/>
    <cellStyle name="20% - Accent2 3 2 2 16 2" xfId="33488"/>
    <cellStyle name="20% - Accent2 3 2 2 17" xfId="11369"/>
    <cellStyle name="20% - Accent2 3 2 2 17 2" xfId="34144"/>
    <cellStyle name="20% - Accent2 3 2 2 18" xfId="12025"/>
    <cellStyle name="20% - Accent2 3 2 2 18 2" xfId="34800"/>
    <cellStyle name="20% - Accent2 3 2 2 19" xfId="12681"/>
    <cellStyle name="20% - Accent2 3 2 2 19 2" xfId="35456"/>
    <cellStyle name="20% - Accent2 3 2 2 2" xfId="873"/>
    <cellStyle name="20% - Accent2 3 2 2 2 10" xfId="8417"/>
    <cellStyle name="20% - Accent2 3 2 2 2 10 2" xfId="31192"/>
    <cellStyle name="20% - Accent2 3 2 2 2 11" xfId="9073"/>
    <cellStyle name="20% - Accent2 3 2 2 2 11 2" xfId="31848"/>
    <cellStyle name="20% - Accent2 3 2 2 2 12" xfId="9729"/>
    <cellStyle name="20% - Accent2 3 2 2 2 12 2" xfId="32504"/>
    <cellStyle name="20% - Accent2 3 2 2 2 13" xfId="10385"/>
    <cellStyle name="20% - Accent2 3 2 2 2 13 2" xfId="33160"/>
    <cellStyle name="20% - Accent2 3 2 2 2 14" xfId="11041"/>
    <cellStyle name="20% - Accent2 3 2 2 2 14 2" xfId="33816"/>
    <cellStyle name="20% - Accent2 3 2 2 2 15" xfId="11697"/>
    <cellStyle name="20% - Accent2 3 2 2 2 15 2" xfId="34472"/>
    <cellStyle name="20% - Accent2 3 2 2 2 16" xfId="12353"/>
    <cellStyle name="20% - Accent2 3 2 2 2 16 2" xfId="35128"/>
    <cellStyle name="20% - Accent2 3 2 2 2 17" xfId="13009"/>
    <cellStyle name="20% - Accent2 3 2 2 2 17 2" xfId="35784"/>
    <cellStyle name="20% - Accent2 3 2 2 2 18" xfId="13665"/>
    <cellStyle name="20% - Accent2 3 2 2 2 18 2" xfId="36440"/>
    <cellStyle name="20% - Accent2 3 2 2 2 19" xfId="14321"/>
    <cellStyle name="20% - Accent2 3 2 2 2 19 2" xfId="37096"/>
    <cellStyle name="20% - Accent2 3 2 2 2 2" xfId="1529"/>
    <cellStyle name="20% - Accent2 3 2 2 2 2 2" xfId="3825"/>
    <cellStyle name="20% - Accent2 3 2 2 2 2 2 2" xfId="26600"/>
    <cellStyle name="20% - Accent2 3 2 2 2 2 3" xfId="24304"/>
    <cellStyle name="20% - Accent2 3 2 2 2 20" xfId="14977"/>
    <cellStyle name="20% - Accent2 3 2 2 2 20 2" xfId="37752"/>
    <cellStyle name="20% - Accent2 3 2 2 2 21" xfId="15633"/>
    <cellStyle name="20% - Accent2 3 2 2 2 21 2" xfId="38408"/>
    <cellStyle name="20% - Accent2 3 2 2 2 22" xfId="16289"/>
    <cellStyle name="20% - Accent2 3 2 2 2 22 2" xfId="39064"/>
    <cellStyle name="20% - Accent2 3 2 2 2 23" xfId="16945"/>
    <cellStyle name="20% - Accent2 3 2 2 2 23 2" xfId="39720"/>
    <cellStyle name="20% - Accent2 3 2 2 2 24" xfId="17601"/>
    <cellStyle name="20% - Accent2 3 2 2 2 24 2" xfId="40376"/>
    <cellStyle name="20% - Accent2 3 2 2 2 25" xfId="18257"/>
    <cellStyle name="20% - Accent2 3 2 2 2 25 2" xfId="41032"/>
    <cellStyle name="20% - Accent2 3 2 2 2 26" xfId="18913"/>
    <cellStyle name="20% - Accent2 3 2 2 2 26 2" xfId="41688"/>
    <cellStyle name="20% - Accent2 3 2 2 2 27" xfId="19569"/>
    <cellStyle name="20% - Accent2 3 2 2 2 27 2" xfId="42344"/>
    <cellStyle name="20% - Accent2 3 2 2 2 28" xfId="20225"/>
    <cellStyle name="20% - Accent2 3 2 2 2 28 2" xfId="43000"/>
    <cellStyle name="20% - Accent2 3 2 2 2 29" xfId="20881"/>
    <cellStyle name="20% - Accent2 3 2 2 2 29 2" xfId="43656"/>
    <cellStyle name="20% - Accent2 3 2 2 2 3" xfId="2185"/>
    <cellStyle name="20% - Accent2 3 2 2 2 3 2" xfId="4481"/>
    <cellStyle name="20% - Accent2 3 2 2 2 3 2 2" xfId="27256"/>
    <cellStyle name="20% - Accent2 3 2 2 2 3 3" xfId="24960"/>
    <cellStyle name="20% - Accent2 3 2 2 2 30" xfId="21537"/>
    <cellStyle name="20% - Accent2 3 2 2 2 30 2" xfId="44312"/>
    <cellStyle name="20% - Accent2 3 2 2 2 31" xfId="22193"/>
    <cellStyle name="20% - Accent2 3 2 2 2 31 2" xfId="44968"/>
    <cellStyle name="20% - Accent2 3 2 2 2 32" xfId="22849"/>
    <cellStyle name="20% - Accent2 3 2 2 2 32 2" xfId="45624"/>
    <cellStyle name="20% - Accent2 3 2 2 2 33" xfId="23648"/>
    <cellStyle name="20% - Accent2 3 2 2 2 4" xfId="5137"/>
    <cellStyle name="20% - Accent2 3 2 2 2 4 2" xfId="27912"/>
    <cellStyle name="20% - Accent2 3 2 2 2 5" xfId="5793"/>
    <cellStyle name="20% - Accent2 3 2 2 2 5 2" xfId="28568"/>
    <cellStyle name="20% - Accent2 3 2 2 2 6" xfId="6449"/>
    <cellStyle name="20% - Accent2 3 2 2 2 6 2" xfId="29224"/>
    <cellStyle name="20% - Accent2 3 2 2 2 7" xfId="3169"/>
    <cellStyle name="20% - Accent2 3 2 2 2 7 2" xfId="25944"/>
    <cellStyle name="20% - Accent2 3 2 2 2 8" xfId="7105"/>
    <cellStyle name="20% - Accent2 3 2 2 2 8 2" xfId="29880"/>
    <cellStyle name="20% - Accent2 3 2 2 2 9" xfId="7761"/>
    <cellStyle name="20% - Accent2 3 2 2 2 9 2" xfId="30536"/>
    <cellStyle name="20% - Accent2 3 2 2 20" xfId="13337"/>
    <cellStyle name="20% - Accent2 3 2 2 20 2" xfId="36112"/>
    <cellStyle name="20% - Accent2 3 2 2 21" xfId="13993"/>
    <cellStyle name="20% - Accent2 3 2 2 21 2" xfId="36768"/>
    <cellStyle name="20% - Accent2 3 2 2 22" xfId="14649"/>
    <cellStyle name="20% - Accent2 3 2 2 22 2" xfId="37424"/>
    <cellStyle name="20% - Accent2 3 2 2 23" xfId="15305"/>
    <cellStyle name="20% - Accent2 3 2 2 23 2" xfId="38080"/>
    <cellStyle name="20% - Accent2 3 2 2 24" xfId="15961"/>
    <cellStyle name="20% - Accent2 3 2 2 24 2" xfId="38736"/>
    <cellStyle name="20% - Accent2 3 2 2 25" xfId="16617"/>
    <cellStyle name="20% - Accent2 3 2 2 25 2" xfId="39392"/>
    <cellStyle name="20% - Accent2 3 2 2 26" xfId="17273"/>
    <cellStyle name="20% - Accent2 3 2 2 26 2" xfId="40048"/>
    <cellStyle name="20% - Accent2 3 2 2 27" xfId="17929"/>
    <cellStyle name="20% - Accent2 3 2 2 27 2" xfId="40704"/>
    <cellStyle name="20% - Accent2 3 2 2 28" xfId="18585"/>
    <cellStyle name="20% - Accent2 3 2 2 28 2" xfId="41360"/>
    <cellStyle name="20% - Accent2 3 2 2 29" xfId="19241"/>
    <cellStyle name="20% - Accent2 3 2 2 29 2" xfId="42016"/>
    <cellStyle name="20% - Accent2 3 2 2 3" xfId="1201"/>
    <cellStyle name="20% - Accent2 3 2 2 3 2" xfId="2841"/>
    <cellStyle name="20% - Accent2 3 2 2 3 2 2" xfId="25616"/>
    <cellStyle name="20% - Accent2 3 2 2 3 3" xfId="23976"/>
    <cellStyle name="20% - Accent2 3 2 2 30" xfId="19897"/>
    <cellStyle name="20% - Accent2 3 2 2 30 2" xfId="42672"/>
    <cellStyle name="20% - Accent2 3 2 2 31" xfId="20553"/>
    <cellStyle name="20% - Accent2 3 2 2 31 2" xfId="43328"/>
    <cellStyle name="20% - Accent2 3 2 2 32" xfId="21209"/>
    <cellStyle name="20% - Accent2 3 2 2 32 2" xfId="43984"/>
    <cellStyle name="20% - Accent2 3 2 2 33" xfId="21865"/>
    <cellStyle name="20% - Accent2 3 2 2 33 2" xfId="44640"/>
    <cellStyle name="20% - Accent2 3 2 2 34" xfId="22521"/>
    <cellStyle name="20% - Accent2 3 2 2 34 2" xfId="45296"/>
    <cellStyle name="20% - Accent2 3 2 2 35" xfId="23320"/>
    <cellStyle name="20% - Accent2 3 2 2 4" xfId="1857"/>
    <cellStyle name="20% - Accent2 3 2 2 4 2" xfId="3497"/>
    <cellStyle name="20% - Accent2 3 2 2 4 2 2" xfId="26272"/>
    <cellStyle name="20% - Accent2 3 2 2 4 3" xfId="24632"/>
    <cellStyle name="20% - Accent2 3 2 2 5" xfId="4153"/>
    <cellStyle name="20% - Accent2 3 2 2 5 2" xfId="26928"/>
    <cellStyle name="20% - Accent2 3 2 2 6" xfId="4809"/>
    <cellStyle name="20% - Accent2 3 2 2 6 2" xfId="27584"/>
    <cellStyle name="20% - Accent2 3 2 2 7" xfId="5465"/>
    <cellStyle name="20% - Accent2 3 2 2 7 2" xfId="28240"/>
    <cellStyle name="20% - Accent2 3 2 2 8" xfId="6121"/>
    <cellStyle name="20% - Accent2 3 2 2 8 2" xfId="28896"/>
    <cellStyle name="20% - Accent2 3 2 2 9" xfId="2513"/>
    <cellStyle name="20% - Accent2 3 2 2 9 2" xfId="25288"/>
    <cellStyle name="20% - Accent2 3 2 20" xfId="12496"/>
    <cellStyle name="20% - Accent2 3 2 20 2" xfId="35271"/>
    <cellStyle name="20% - Accent2 3 2 21" xfId="13152"/>
    <cellStyle name="20% - Accent2 3 2 21 2" xfId="35927"/>
    <cellStyle name="20% - Accent2 3 2 22" xfId="13808"/>
    <cellStyle name="20% - Accent2 3 2 22 2" xfId="36583"/>
    <cellStyle name="20% - Accent2 3 2 23" xfId="14464"/>
    <cellStyle name="20% - Accent2 3 2 23 2" xfId="37239"/>
    <cellStyle name="20% - Accent2 3 2 24" xfId="15120"/>
    <cellStyle name="20% - Accent2 3 2 24 2" xfId="37895"/>
    <cellStyle name="20% - Accent2 3 2 25" xfId="15776"/>
    <cellStyle name="20% - Accent2 3 2 25 2" xfId="38551"/>
    <cellStyle name="20% - Accent2 3 2 26" xfId="16432"/>
    <cellStyle name="20% - Accent2 3 2 26 2" xfId="39207"/>
    <cellStyle name="20% - Accent2 3 2 27" xfId="17088"/>
    <cellStyle name="20% - Accent2 3 2 27 2" xfId="39863"/>
    <cellStyle name="20% - Accent2 3 2 28" xfId="17744"/>
    <cellStyle name="20% - Accent2 3 2 28 2" xfId="40519"/>
    <cellStyle name="20% - Accent2 3 2 29" xfId="18400"/>
    <cellStyle name="20% - Accent2 3 2 29 2" xfId="41175"/>
    <cellStyle name="20% - Accent2 3 2 3" xfId="688"/>
    <cellStyle name="20% - Accent2 3 2 3 10" xfId="8232"/>
    <cellStyle name="20% - Accent2 3 2 3 10 2" xfId="31007"/>
    <cellStyle name="20% - Accent2 3 2 3 11" xfId="8888"/>
    <cellStyle name="20% - Accent2 3 2 3 11 2" xfId="31663"/>
    <cellStyle name="20% - Accent2 3 2 3 12" xfId="9544"/>
    <cellStyle name="20% - Accent2 3 2 3 12 2" xfId="32319"/>
    <cellStyle name="20% - Accent2 3 2 3 13" xfId="10200"/>
    <cellStyle name="20% - Accent2 3 2 3 13 2" xfId="32975"/>
    <cellStyle name="20% - Accent2 3 2 3 14" xfId="10856"/>
    <cellStyle name="20% - Accent2 3 2 3 14 2" xfId="33631"/>
    <cellStyle name="20% - Accent2 3 2 3 15" xfId="11512"/>
    <cellStyle name="20% - Accent2 3 2 3 15 2" xfId="34287"/>
    <cellStyle name="20% - Accent2 3 2 3 16" xfId="12168"/>
    <cellStyle name="20% - Accent2 3 2 3 16 2" xfId="34943"/>
    <cellStyle name="20% - Accent2 3 2 3 17" xfId="12824"/>
    <cellStyle name="20% - Accent2 3 2 3 17 2" xfId="35599"/>
    <cellStyle name="20% - Accent2 3 2 3 18" xfId="13480"/>
    <cellStyle name="20% - Accent2 3 2 3 18 2" xfId="36255"/>
    <cellStyle name="20% - Accent2 3 2 3 19" xfId="14136"/>
    <cellStyle name="20% - Accent2 3 2 3 19 2" xfId="36911"/>
    <cellStyle name="20% - Accent2 3 2 3 2" xfId="1344"/>
    <cellStyle name="20% - Accent2 3 2 3 2 2" xfId="3640"/>
    <cellStyle name="20% - Accent2 3 2 3 2 2 2" xfId="26415"/>
    <cellStyle name="20% - Accent2 3 2 3 2 3" xfId="24119"/>
    <cellStyle name="20% - Accent2 3 2 3 20" xfId="14792"/>
    <cellStyle name="20% - Accent2 3 2 3 20 2" xfId="37567"/>
    <cellStyle name="20% - Accent2 3 2 3 21" xfId="15448"/>
    <cellStyle name="20% - Accent2 3 2 3 21 2" xfId="38223"/>
    <cellStyle name="20% - Accent2 3 2 3 22" xfId="16104"/>
    <cellStyle name="20% - Accent2 3 2 3 22 2" xfId="38879"/>
    <cellStyle name="20% - Accent2 3 2 3 23" xfId="16760"/>
    <cellStyle name="20% - Accent2 3 2 3 23 2" xfId="39535"/>
    <cellStyle name="20% - Accent2 3 2 3 24" xfId="17416"/>
    <cellStyle name="20% - Accent2 3 2 3 24 2" xfId="40191"/>
    <cellStyle name="20% - Accent2 3 2 3 25" xfId="18072"/>
    <cellStyle name="20% - Accent2 3 2 3 25 2" xfId="40847"/>
    <cellStyle name="20% - Accent2 3 2 3 26" xfId="18728"/>
    <cellStyle name="20% - Accent2 3 2 3 26 2" xfId="41503"/>
    <cellStyle name="20% - Accent2 3 2 3 27" xfId="19384"/>
    <cellStyle name="20% - Accent2 3 2 3 27 2" xfId="42159"/>
    <cellStyle name="20% - Accent2 3 2 3 28" xfId="20040"/>
    <cellStyle name="20% - Accent2 3 2 3 28 2" xfId="42815"/>
    <cellStyle name="20% - Accent2 3 2 3 29" xfId="20696"/>
    <cellStyle name="20% - Accent2 3 2 3 29 2" xfId="43471"/>
    <cellStyle name="20% - Accent2 3 2 3 3" xfId="2000"/>
    <cellStyle name="20% - Accent2 3 2 3 3 2" xfId="4296"/>
    <cellStyle name="20% - Accent2 3 2 3 3 2 2" xfId="27071"/>
    <cellStyle name="20% - Accent2 3 2 3 3 3" xfId="24775"/>
    <cellStyle name="20% - Accent2 3 2 3 30" xfId="21352"/>
    <cellStyle name="20% - Accent2 3 2 3 30 2" xfId="44127"/>
    <cellStyle name="20% - Accent2 3 2 3 31" xfId="22008"/>
    <cellStyle name="20% - Accent2 3 2 3 31 2" xfId="44783"/>
    <cellStyle name="20% - Accent2 3 2 3 32" xfId="22664"/>
    <cellStyle name="20% - Accent2 3 2 3 32 2" xfId="45439"/>
    <cellStyle name="20% - Accent2 3 2 3 33" xfId="23463"/>
    <cellStyle name="20% - Accent2 3 2 3 4" xfId="4952"/>
    <cellStyle name="20% - Accent2 3 2 3 4 2" xfId="27727"/>
    <cellStyle name="20% - Accent2 3 2 3 5" xfId="5608"/>
    <cellStyle name="20% - Accent2 3 2 3 5 2" xfId="28383"/>
    <cellStyle name="20% - Accent2 3 2 3 6" xfId="6264"/>
    <cellStyle name="20% - Accent2 3 2 3 6 2" xfId="29039"/>
    <cellStyle name="20% - Accent2 3 2 3 7" xfId="2984"/>
    <cellStyle name="20% - Accent2 3 2 3 7 2" xfId="25759"/>
    <cellStyle name="20% - Accent2 3 2 3 8" xfId="6920"/>
    <cellStyle name="20% - Accent2 3 2 3 8 2" xfId="29695"/>
    <cellStyle name="20% - Accent2 3 2 3 9" xfId="7576"/>
    <cellStyle name="20% - Accent2 3 2 3 9 2" xfId="30351"/>
    <cellStyle name="20% - Accent2 3 2 30" xfId="19056"/>
    <cellStyle name="20% - Accent2 3 2 30 2" xfId="41831"/>
    <cellStyle name="20% - Accent2 3 2 31" xfId="19712"/>
    <cellStyle name="20% - Accent2 3 2 31 2" xfId="42487"/>
    <cellStyle name="20% - Accent2 3 2 32" xfId="20368"/>
    <cellStyle name="20% - Accent2 3 2 32 2" xfId="43143"/>
    <cellStyle name="20% - Accent2 3 2 33" xfId="21024"/>
    <cellStyle name="20% - Accent2 3 2 33 2" xfId="43799"/>
    <cellStyle name="20% - Accent2 3 2 34" xfId="21680"/>
    <cellStyle name="20% - Accent2 3 2 34 2" xfId="44455"/>
    <cellStyle name="20% - Accent2 3 2 35" xfId="22336"/>
    <cellStyle name="20% - Accent2 3 2 35 2" xfId="45111"/>
    <cellStyle name="20% - Accent2 3 2 36" xfId="22992"/>
    <cellStyle name="20% - Accent2 3 2 4" xfId="361"/>
    <cellStyle name="20% - Accent2 3 2 4 2" xfId="2656"/>
    <cellStyle name="20% - Accent2 3 2 4 2 2" xfId="25431"/>
    <cellStyle name="20% - Accent2 3 2 4 3" xfId="23135"/>
    <cellStyle name="20% - Accent2 3 2 5" xfId="1016"/>
    <cellStyle name="20% - Accent2 3 2 5 2" xfId="3312"/>
    <cellStyle name="20% - Accent2 3 2 5 2 2" xfId="26087"/>
    <cellStyle name="20% - Accent2 3 2 5 3" xfId="23791"/>
    <cellStyle name="20% - Accent2 3 2 6" xfId="1672"/>
    <cellStyle name="20% - Accent2 3 2 6 2" xfId="3968"/>
    <cellStyle name="20% - Accent2 3 2 6 2 2" xfId="26743"/>
    <cellStyle name="20% - Accent2 3 2 6 3" xfId="24447"/>
    <cellStyle name="20% - Accent2 3 2 7" xfId="4624"/>
    <cellStyle name="20% - Accent2 3 2 7 2" xfId="27399"/>
    <cellStyle name="20% - Accent2 3 2 8" xfId="5280"/>
    <cellStyle name="20% - Accent2 3 2 8 2" xfId="28055"/>
    <cellStyle name="20% - Accent2 3 2 9" xfId="5936"/>
    <cellStyle name="20% - Accent2 3 2 9 2" xfId="28711"/>
    <cellStyle name="20% - Accent2 3 20" xfId="11785"/>
    <cellStyle name="20% - Accent2 3 20 2" xfId="34560"/>
    <cellStyle name="20% - Accent2 3 21" xfId="12441"/>
    <cellStyle name="20% - Accent2 3 21 2" xfId="35216"/>
    <cellStyle name="20% - Accent2 3 22" xfId="13097"/>
    <cellStyle name="20% - Accent2 3 22 2" xfId="35872"/>
    <cellStyle name="20% - Accent2 3 23" xfId="13753"/>
    <cellStyle name="20% - Accent2 3 23 2" xfId="36528"/>
    <cellStyle name="20% - Accent2 3 24" xfId="14409"/>
    <cellStyle name="20% - Accent2 3 24 2" xfId="37184"/>
    <cellStyle name="20% - Accent2 3 25" xfId="15065"/>
    <cellStyle name="20% - Accent2 3 25 2" xfId="37840"/>
    <cellStyle name="20% - Accent2 3 26" xfId="15721"/>
    <cellStyle name="20% - Accent2 3 26 2" xfId="38496"/>
    <cellStyle name="20% - Accent2 3 27" xfId="16377"/>
    <cellStyle name="20% - Accent2 3 27 2" xfId="39152"/>
    <cellStyle name="20% - Accent2 3 28" xfId="17033"/>
    <cellStyle name="20% - Accent2 3 28 2" xfId="39808"/>
    <cellStyle name="20% - Accent2 3 29" xfId="17689"/>
    <cellStyle name="20% - Accent2 3 29 2" xfId="40464"/>
    <cellStyle name="20% - Accent2 3 3" xfId="490"/>
    <cellStyle name="20% - Accent2 3 3 10" xfId="6722"/>
    <cellStyle name="20% - Accent2 3 3 10 2" xfId="29497"/>
    <cellStyle name="20% - Accent2 3 3 11" xfId="7378"/>
    <cellStyle name="20% - Accent2 3 3 11 2" xfId="30153"/>
    <cellStyle name="20% - Accent2 3 3 12" xfId="8034"/>
    <cellStyle name="20% - Accent2 3 3 12 2" xfId="30809"/>
    <cellStyle name="20% - Accent2 3 3 13" xfId="8690"/>
    <cellStyle name="20% - Accent2 3 3 13 2" xfId="31465"/>
    <cellStyle name="20% - Accent2 3 3 14" xfId="9346"/>
    <cellStyle name="20% - Accent2 3 3 14 2" xfId="32121"/>
    <cellStyle name="20% - Accent2 3 3 15" xfId="10002"/>
    <cellStyle name="20% - Accent2 3 3 15 2" xfId="32777"/>
    <cellStyle name="20% - Accent2 3 3 16" xfId="10658"/>
    <cellStyle name="20% - Accent2 3 3 16 2" xfId="33433"/>
    <cellStyle name="20% - Accent2 3 3 17" xfId="11314"/>
    <cellStyle name="20% - Accent2 3 3 17 2" xfId="34089"/>
    <cellStyle name="20% - Accent2 3 3 18" xfId="11970"/>
    <cellStyle name="20% - Accent2 3 3 18 2" xfId="34745"/>
    <cellStyle name="20% - Accent2 3 3 19" xfId="12626"/>
    <cellStyle name="20% - Accent2 3 3 19 2" xfId="35401"/>
    <cellStyle name="20% - Accent2 3 3 2" xfId="818"/>
    <cellStyle name="20% - Accent2 3 3 2 10" xfId="8362"/>
    <cellStyle name="20% - Accent2 3 3 2 10 2" xfId="31137"/>
    <cellStyle name="20% - Accent2 3 3 2 11" xfId="9018"/>
    <cellStyle name="20% - Accent2 3 3 2 11 2" xfId="31793"/>
    <cellStyle name="20% - Accent2 3 3 2 12" xfId="9674"/>
    <cellStyle name="20% - Accent2 3 3 2 12 2" xfId="32449"/>
    <cellStyle name="20% - Accent2 3 3 2 13" xfId="10330"/>
    <cellStyle name="20% - Accent2 3 3 2 13 2" xfId="33105"/>
    <cellStyle name="20% - Accent2 3 3 2 14" xfId="10986"/>
    <cellStyle name="20% - Accent2 3 3 2 14 2" xfId="33761"/>
    <cellStyle name="20% - Accent2 3 3 2 15" xfId="11642"/>
    <cellStyle name="20% - Accent2 3 3 2 15 2" xfId="34417"/>
    <cellStyle name="20% - Accent2 3 3 2 16" xfId="12298"/>
    <cellStyle name="20% - Accent2 3 3 2 16 2" xfId="35073"/>
    <cellStyle name="20% - Accent2 3 3 2 17" xfId="12954"/>
    <cellStyle name="20% - Accent2 3 3 2 17 2" xfId="35729"/>
    <cellStyle name="20% - Accent2 3 3 2 18" xfId="13610"/>
    <cellStyle name="20% - Accent2 3 3 2 18 2" xfId="36385"/>
    <cellStyle name="20% - Accent2 3 3 2 19" xfId="14266"/>
    <cellStyle name="20% - Accent2 3 3 2 19 2" xfId="37041"/>
    <cellStyle name="20% - Accent2 3 3 2 2" xfId="1474"/>
    <cellStyle name="20% - Accent2 3 3 2 2 2" xfId="3770"/>
    <cellStyle name="20% - Accent2 3 3 2 2 2 2" xfId="26545"/>
    <cellStyle name="20% - Accent2 3 3 2 2 3" xfId="24249"/>
    <cellStyle name="20% - Accent2 3 3 2 20" xfId="14922"/>
    <cellStyle name="20% - Accent2 3 3 2 20 2" xfId="37697"/>
    <cellStyle name="20% - Accent2 3 3 2 21" xfId="15578"/>
    <cellStyle name="20% - Accent2 3 3 2 21 2" xfId="38353"/>
    <cellStyle name="20% - Accent2 3 3 2 22" xfId="16234"/>
    <cellStyle name="20% - Accent2 3 3 2 22 2" xfId="39009"/>
    <cellStyle name="20% - Accent2 3 3 2 23" xfId="16890"/>
    <cellStyle name="20% - Accent2 3 3 2 23 2" xfId="39665"/>
    <cellStyle name="20% - Accent2 3 3 2 24" xfId="17546"/>
    <cellStyle name="20% - Accent2 3 3 2 24 2" xfId="40321"/>
    <cellStyle name="20% - Accent2 3 3 2 25" xfId="18202"/>
    <cellStyle name="20% - Accent2 3 3 2 25 2" xfId="40977"/>
    <cellStyle name="20% - Accent2 3 3 2 26" xfId="18858"/>
    <cellStyle name="20% - Accent2 3 3 2 26 2" xfId="41633"/>
    <cellStyle name="20% - Accent2 3 3 2 27" xfId="19514"/>
    <cellStyle name="20% - Accent2 3 3 2 27 2" xfId="42289"/>
    <cellStyle name="20% - Accent2 3 3 2 28" xfId="20170"/>
    <cellStyle name="20% - Accent2 3 3 2 28 2" xfId="42945"/>
    <cellStyle name="20% - Accent2 3 3 2 29" xfId="20826"/>
    <cellStyle name="20% - Accent2 3 3 2 29 2" xfId="43601"/>
    <cellStyle name="20% - Accent2 3 3 2 3" xfId="2130"/>
    <cellStyle name="20% - Accent2 3 3 2 3 2" xfId="4426"/>
    <cellStyle name="20% - Accent2 3 3 2 3 2 2" xfId="27201"/>
    <cellStyle name="20% - Accent2 3 3 2 3 3" xfId="24905"/>
    <cellStyle name="20% - Accent2 3 3 2 30" xfId="21482"/>
    <cellStyle name="20% - Accent2 3 3 2 30 2" xfId="44257"/>
    <cellStyle name="20% - Accent2 3 3 2 31" xfId="22138"/>
    <cellStyle name="20% - Accent2 3 3 2 31 2" xfId="44913"/>
    <cellStyle name="20% - Accent2 3 3 2 32" xfId="22794"/>
    <cellStyle name="20% - Accent2 3 3 2 32 2" xfId="45569"/>
    <cellStyle name="20% - Accent2 3 3 2 33" xfId="23593"/>
    <cellStyle name="20% - Accent2 3 3 2 4" xfId="5082"/>
    <cellStyle name="20% - Accent2 3 3 2 4 2" xfId="27857"/>
    <cellStyle name="20% - Accent2 3 3 2 5" xfId="5738"/>
    <cellStyle name="20% - Accent2 3 3 2 5 2" xfId="28513"/>
    <cellStyle name="20% - Accent2 3 3 2 6" xfId="6394"/>
    <cellStyle name="20% - Accent2 3 3 2 6 2" xfId="29169"/>
    <cellStyle name="20% - Accent2 3 3 2 7" xfId="3114"/>
    <cellStyle name="20% - Accent2 3 3 2 7 2" xfId="25889"/>
    <cellStyle name="20% - Accent2 3 3 2 8" xfId="7050"/>
    <cellStyle name="20% - Accent2 3 3 2 8 2" xfId="29825"/>
    <cellStyle name="20% - Accent2 3 3 2 9" xfId="7706"/>
    <cellStyle name="20% - Accent2 3 3 2 9 2" xfId="30481"/>
    <cellStyle name="20% - Accent2 3 3 20" xfId="13282"/>
    <cellStyle name="20% - Accent2 3 3 20 2" xfId="36057"/>
    <cellStyle name="20% - Accent2 3 3 21" xfId="13938"/>
    <cellStyle name="20% - Accent2 3 3 21 2" xfId="36713"/>
    <cellStyle name="20% - Accent2 3 3 22" xfId="14594"/>
    <cellStyle name="20% - Accent2 3 3 22 2" xfId="37369"/>
    <cellStyle name="20% - Accent2 3 3 23" xfId="15250"/>
    <cellStyle name="20% - Accent2 3 3 23 2" xfId="38025"/>
    <cellStyle name="20% - Accent2 3 3 24" xfId="15906"/>
    <cellStyle name="20% - Accent2 3 3 24 2" xfId="38681"/>
    <cellStyle name="20% - Accent2 3 3 25" xfId="16562"/>
    <cellStyle name="20% - Accent2 3 3 25 2" xfId="39337"/>
    <cellStyle name="20% - Accent2 3 3 26" xfId="17218"/>
    <cellStyle name="20% - Accent2 3 3 26 2" xfId="39993"/>
    <cellStyle name="20% - Accent2 3 3 27" xfId="17874"/>
    <cellStyle name="20% - Accent2 3 3 27 2" xfId="40649"/>
    <cellStyle name="20% - Accent2 3 3 28" xfId="18530"/>
    <cellStyle name="20% - Accent2 3 3 28 2" xfId="41305"/>
    <cellStyle name="20% - Accent2 3 3 29" xfId="19186"/>
    <cellStyle name="20% - Accent2 3 3 29 2" xfId="41961"/>
    <cellStyle name="20% - Accent2 3 3 3" xfId="1146"/>
    <cellStyle name="20% - Accent2 3 3 3 2" xfId="2786"/>
    <cellStyle name="20% - Accent2 3 3 3 2 2" xfId="25561"/>
    <cellStyle name="20% - Accent2 3 3 3 3" xfId="23921"/>
    <cellStyle name="20% - Accent2 3 3 30" xfId="19842"/>
    <cellStyle name="20% - Accent2 3 3 30 2" xfId="42617"/>
    <cellStyle name="20% - Accent2 3 3 31" xfId="20498"/>
    <cellStyle name="20% - Accent2 3 3 31 2" xfId="43273"/>
    <cellStyle name="20% - Accent2 3 3 32" xfId="21154"/>
    <cellStyle name="20% - Accent2 3 3 32 2" xfId="43929"/>
    <cellStyle name="20% - Accent2 3 3 33" xfId="21810"/>
    <cellStyle name="20% - Accent2 3 3 33 2" xfId="44585"/>
    <cellStyle name="20% - Accent2 3 3 34" xfId="22466"/>
    <cellStyle name="20% - Accent2 3 3 34 2" xfId="45241"/>
    <cellStyle name="20% - Accent2 3 3 35" xfId="23265"/>
    <cellStyle name="20% - Accent2 3 3 4" xfId="1802"/>
    <cellStyle name="20% - Accent2 3 3 4 2" xfId="3442"/>
    <cellStyle name="20% - Accent2 3 3 4 2 2" xfId="26217"/>
    <cellStyle name="20% - Accent2 3 3 4 3" xfId="24577"/>
    <cellStyle name="20% - Accent2 3 3 5" xfId="4098"/>
    <cellStyle name="20% - Accent2 3 3 5 2" xfId="26873"/>
    <cellStyle name="20% - Accent2 3 3 6" xfId="4754"/>
    <cellStyle name="20% - Accent2 3 3 6 2" xfId="27529"/>
    <cellStyle name="20% - Accent2 3 3 7" xfId="5410"/>
    <cellStyle name="20% - Accent2 3 3 7 2" xfId="28185"/>
    <cellStyle name="20% - Accent2 3 3 8" xfId="6066"/>
    <cellStyle name="20% - Accent2 3 3 8 2" xfId="28841"/>
    <cellStyle name="20% - Accent2 3 3 9" xfId="2458"/>
    <cellStyle name="20% - Accent2 3 3 9 2" xfId="25233"/>
    <cellStyle name="20% - Accent2 3 30" xfId="18345"/>
    <cellStyle name="20% - Accent2 3 30 2" xfId="41120"/>
    <cellStyle name="20% - Accent2 3 31" xfId="19001"/>
    <cellStyle name="20% - Accent2 3 31 2" xfId="41776"/>
    <cellStyle name="20% - Accent2 3 32" xfId="19657"/>
    <cellStyle name="20% - Accent2 3 32 2" xfId="42432"/>
    <cellStyle name="20% - Accent2 3 33" xfId="20313"/>
    <cellStyle name="20% - Accent2 3 33 2" xfId="43088"/>
    <cellStyle name="20% - Accent2 3 34" xfId="20969"/>
    <cellStyle name="20% - Accent2 3 34 2" xfId="43744"/>
    <cellStyle name="20% - Accent2 3 35" xfId="21625"/>
    <cellStyle name="20% - Accent2 3 35 2" xfId="44400"/>
    <cellStyle name="20% - Accent2 3 36" xfId="22281"/>
    <cellStyle name="20% - Accent2 3 36 2" xfId="45056"/>
    <cellStyle name="20% - Accent2 3 37" xfId="220"/>
    <cellStyle name="20% - Accent2 3 38" xfId="22937"/>
    <cellStyle name="20% - Accent2 3 4" xfId="633"/>
    <cellStyle name="20% - Accent2 3 4 10" xfId="8177"/>
    <cellStyle name="20% - Accent2 3 4 10 2" xfId="30952"/>
    <cellStyle name="20% - Accent2 3 4 11" xfId="8833"/>
    <cellStyle name="20% - Accent2 3 4 11 2" xfId="31608"/>
    <cellStyle name="20% - Accent2 3 4 12" xfId="9489"/>
    <cellStyle name="20% - Accent2 3 4 12 2" xfId="32264"/>
    <cellStyle name="20% - Accent2 3 4 13" xfId="10145"/>
    <cellStyle name="20% - Accent2 3 4 13 2" xfId="32920"/>
    <cellStyle name="20% - Accent2 3 4 14" xfId="10801"/>
    <cellStyle name="20% - Accent2 3 4 14 2" xfId="33576"/>
    <cellStyle name="20% - Accent2 3 4 15" xfId="11457"/>
    <cellStyle name="20% - Accent2 3 4 15 2" xfId="34232"/>
    <cellStyle name="20% - Accent2 3 4 16" xfId="12113"/>
    <cellStyle name="20% - Accent2 3 4 16 2" xfId="34888"/>
    <cellStyle name="20% - Accent2 3 4 17" xfId="12769"/>
    <cellStyle name="20% - Accent2 3 4 17 2" xfId="35544"/>
    <cellStyle name="20% - Accent2 3 4 18" xfId="13425"/>
    <cellStyle name="20% - Accent2 3 4 18 2" xfId="36200"/>
    <cellStyle name="20% - Accent2 3 4 19" xfId="14081"/>
    <cellStyle name="20% - Accent2 3 4 19 2" xfId="36856"/>
    <cellStyle name="20% - Accent2 3 4 2" xfId="1289"/>
    <cellStyle name="20% - Accent2 3 4 2 2" xfId="3585"/>
    <cellStyle name="20% - Accent2 3 4 2 2 2" xfId="26360"/>
    <cellStyle name="20% - Accent2 3 4 2 3" xfId="24064"/>
    <cellStyle name="20% - Accent2 3 4 20" xfId="14737"/>
    <cellStyle name="20% - Accent2 3 4 20 2" xfId="37512"/>
    <cellStyle name="20% - Accent2 3 4 21" xfId="15393"/>
    <cellStyle name="20% - Accent2 3 4 21 2" xfId="38168"/>
    <cellStyle name="20% - Accent2 3 4 22" xfId="16049"/>
    <cellStyle name="20% - Accent2 3 4 22 2" xfId="38824"/>
    <cellStyle name="20% - Accent2 3 4 23" xfId="16705"/>
    <cellStyle name="20% - Accent2 3 4 23 2" xfId="39480"/>
    <cellStyle name="20% - Accent2 3 4 24" xfId="17361"/>
    <cellStyle name="20% - Accent2 3 4 24 2" xfId="40136"/>
    <cellStyle name="20% - Accent2 3 4 25" xfId="18017"/>
    <cellStyle name="20% - Accent2 3 4 25 2" xfId="40792"/>
    <cellStyle name="20% - Accent2 3 4 26" xfId="18673"/>
    <cellStyle name="20% - Accent2 3 4 26 2" xfId="41448"/>
    <cellStyle name="20% - Accent2 3 4 27" xfId="19329"/>
    <cellStyle name="20% - Accent2 3 4 27 2" xfId="42104"/>
    <cellStyle name="20% - Accent2 3 4 28" xfId="19985"/>
    <cellStyle name="20% - Accent2 3 4 28 2" xfId="42760"/>
    <cellStyle name="20% - Accent2 3 4 29" xfId="20641"/>
    <cellStyle name="20% - Accent2 3 4 29 2" xfId="43416"/>
    <cellStyle name="20% - Accent2 3 4 3" xfId="1945"/>
    <cellStyle name="20% - Accent2 3 4 3 2" xfId="4241"/>
    <cellStyle name="20% - Accent2 3 4 3 2 2" xfId="27016"/>
    <cellStyle name="20% - Accent2 3 4 3 3" xfId="24720"/>
    <cellStyle name="20% - Accent2 3 4 30" xfId="21297"/>
    <cellStyle name="20% - Accent2 3 4 30 2" xfId="44072"/>
    <cellStyle name="20% - Accent2 3 4 31" xfId="21953"/>
    <cellStyle name="20% - Accent2 3 4 31 2" xfId="44728"/>
    <cellStyle name="20% - Accent2 3 4 32" xfId="22609"/>
    <cellStyle name="20% - Accent2 3 4 32 2" xfId="45384"/>
    <cellStyle name="20% - Accent2 3 4 33" xfId="23408"/>
    <cellStyle name="20% - Accent2 3 4 4" xfId="4897"/>
    <cellStyle name="20% - Accent2 3 4 4 2" xfId="27672"/>
    <cellStyle name="20% - Accent2 3 4 5" xfId="5553"/>
    <cellStyle name="20% - Accent2 3 4 5 2" xfId="28328"/>
    <cellStyle name="20% - Accent2 3 4 6" xfId="6209"/>
    <cellStyle name="20% - Accent2 3 4 6 2" xfId="28984"/>
    <cellStyle name="20% - Accent2 3 4 7" xfId="2929"/>
    <cellStyle name="20% - Accent2 3 4 7 2" xfId="25704"/>
    <cellStyle name="20% - Accent2 3 4 8" xfId="6865"/>
    <cellStyle name="20% - Accent2 3 4 8 2" xfId="29640"/>
    <cellStyle name="20% - Accent2 3 4 9" xfId="7521"/>
    <cellStyle name="20% - Accent2 3 4 9 2" xfId="30296"/>
    <cellStyle name="20% - Accent2 3 5" xfId="306"/>
    <cellStyle name="20% - Accent2 3 5 2" xfId="2601"/>
    <cellStyle name="20% - Accent2 3 5 2 2" xfId="25376"/>
    <cellStyle name="20% - Accent2 3 5 3" xfId="23080"/>
    <cellStyle name="20% - Accent2 3 6" xfId="961"/>
    <cellStyle name="20% - Accent2 3 6 2" xfId="3257"/>
    <cellStyle name="20% - Accent2 3 6 2 2" xfId="26032"/>
    <cellStyle name="20% - Accent2 3 6 3" xfId="23736"/>
    <cellStyle name="20% - Accent2 3 7" xfId="1617"/>
    <cellStyle name="20% - Accent2 3 7 2" xfId="3913"/>
    <cellStyle name="20% - Accent2 3 7 2 2" xfId="26688"/>
    <cellStyle name="20% - Accent2 3 7 3" xfId="24392"/>
    <cellStyle name="20% - Accent2 3 8" xfId="4569"/>
    <cellStyle name="20% - Accent2 3 8 2" xfId="27344"/>
    <cellStyle name="20% - Accent2 3 9" xfId="5225"/>
    <cellStyle name="20% - Accent2 3 9 2" xfId="28000"/>
    <cellStyle name="20% - Accent2 30" xfId="13722"/>
    <cellStyle name="20% - Accent2 30 2" xfId="36497"/>
    <cellStyle name="20% - Accent2 31" xfId="14378"/>
    <cellStyle name="20% - Accent2 31 2" xfId="37153"/>
    <cellStyle name="20% - Accent2 32" xfId="15034"/>
    <cellStyle name="20% - Accent2 32 2" xfId="37809"/>
    <cellStyle name="20% - Accent2 33" xfId="15690"/>
    <cellStyle name="20% - Accent2 33 2" xfId="38465"/>
    <cellStyle name="20% - Accent2 34" xfId="16346"/>
    <cellStyle name="20% - Accent2 34 2" xfId="39121"/>
    <cellStyle name="20% - Accent2 35" xfId="17002"/>
    <cellStyle name="20% - Accent2 35 2" xfId="39777"/>
    <cellStyle name="20% - Accent2 36" xfId="17658"/>
    <cellStyle name="20% - Accent2 36 2" xfId="40433"/>
    <cellStyle name="20% - Accent2 37" xfId="18314"/>
    <cellStyle name="20% - Accent2 37 2" xfId="41089"/>
    <cellStyle name="20% - Accent2 38" xfId="18970"/>
    <cellStyle name="20% - Accent2 38 2" xfId="41745"/>
    <cellStyle name="20% - Accent2 39" xfId="19626"/>
    <cellStyle name="20% - Accent2 39 2" xfId="42401"/>
    <cellStyle name="20% - Accent2 4" xfId="89"/>
    <cellStyle name="20% - Accent2 4 10" xfId="5895"/>
    <cellStyle name="20% - Accent2 4 10 2" xfId="28670"/>
    <cellStyle name="20% - Accent2 4 11" xfId="2287"/>
    <cellStyle name="20% - Accent2 4 11 2" xfId="25062"/>
    <cellStyle name="20% - Accent2 4 12" xfId="6551"/>
    <cellStyle name="20% - Accent2 4 12 2" xfId="29326"/>
    <cellStyle name="20% - Accent2 4 13" xfId="7207"/>
    <cellStyle name="20% - Accent2 4 13 2" xfId="29982"/>
    <cellStyle name="20% - Accent2 4 14" xfId="7863"/>
    <cellStyle name="20% - Accent2 4 14 2" xfId="30638"/>
    <cellStyle name="20% - Accent2 4 15" xfId="8519"/>
    <cellStyle name="20% - Accent2 4 15 2" xfId="31294"/>
    <cellStyle name="20% - Accent2 4 16" xfId="9175"/>
    <cellStyle name="20% - Accent2 4 16 2" xfId="31950"/>
    <cellStyle name="20% - Accent2 4 17" xfId="9831"/>
    <cellStyle name="20% - Accent2 4 17 2" xfId="32606"/>
    <cellStyle name="20% - Accent2 4 18" xfId="10487"/>
    <cellStyle name="20% - Accent2 4 18 2" xfId="33262"/>
    <cellStyle name="20% - Accent2 4 19" xfId="11143"/>
    <cellStyle name="20% - Accent2 4 19 2" xfId="33918"/>
    <cellStyle name="20% - Accent2 4 2" xfId="160"/>
    <cellStyle name="20% - Accent2 4 2 10" xfId="2358"/>
    <cellStyle name="20% - Accent2 4 2 10 2" xfId="25133"/>
    <cellStyle name="20% - Accent2 4 2 11" xfId="6622"/>
    <cellStyle name="20% - Accent2 4 2 11 2" xfId="29397"/>
    <cellStyle name="20% - Accent2 4 2 12" xfId="7278"/>
    <cellStyle name="20% - Accent2 4 2 12 2" xfId="30053"/>
    <cellStyle name="20% - Accent2 4 2 13" xfId="7934"/>
    <cellStyle name="20% - Accent2 4 2 13 2" xfId="30709"/>
    <cellStyle name="20% - Accent2 4 2 14" xfId="8590"/>
    <cellStyle name="20% - Accent2 4 2 14 2" xfId="31365"/>
    <cellStyle name="20% - Accent2 4 2 15" xfId="9246"/>
    <cellStyle name="20% - Accent2 4 2 15 2" xfId="32021"/>
    <cellStyle name="20% - Accent2 4 2 16" xfId="9902"/>
    <cellStyle name="20% - Accent2 4 2 16 2" xfId="32677"/>
    <cellStyle name="20% - Accent2 4 2 17" xfId="10558"/>
    <cellStyle name="20% - Accent2 4 2 17 2" xfId="33333"/>
    <cellStyle name="20% - Accent2 4 2 18" xfId="11214"/>
    <cellStyle name="20% - Accent2 4 2 18 2" xfId="33989"/>
    <cellStyle name="20% - Accent2 4 2 19" xfId="11870"/>
    <cellStyle name="20% - Accent2 4 2 19 2" xfId="34645"/>
    <cellStyle name="20% - Accent2 4 2 2" xfId="574"/>
    <cellStyle name="20% - Accent2 4 2 2 10" xfId="6807"/>
    <cellStyle name="20% - Accent2 4 2 2 10 2" xfId="29582"/>
    <cellStyle name="20% - Accent2 4 2 2 11" xfId="7463"/>
    <cellStyle name="20% - Accent2 4 2 2 11 2" xfId="30238"/>
    <cellStyle name="20% - Accent2 4 2 2 12" xfId="8119"/>
    <cellStyle name="20% - Accent2 4 2 2 12 2" xfId="30894"/>
    <cellStyle name="20% - Accent2 4 2 2 13" xfId="8775"/>
    <cellStyle name="20% - Accent2 4 2 2 13 2" xfId="31550"/>
    <cellStyle name="20% - Accent2 4 2 2 14" xfId="9431"/>
    <cellStyle name="20% - Accent2 4 2 2 14 2" xfId="32206"/>
    <cellStyle name="20% - Accent2 4 2 2 15" xfId="10087"/>
    <cellStyle name="20% - Accent2 4 2 2 15 2" xfId="32862"/>
    <cellStyle name="20% - Accent2 4 2 2 16" xfId="10743"/>
    <cellStyle name="20% - Accent2 4 2 2 16 2" xfId="33518"/>
    <cellStyle name="20% - Accent2 4 2 2 17" xfId="11399"/>
    <cellStyle name="20% - Accent2 4 2 2 17 2" xfId="34174"/>
    <cellStyle name="20% - Accent2 4 2 2 18" xfId="12055"/>
    <cellStyle name="20% - Accent2 4 2 2 18 2" xfId="34830"/>
    <cellStyle name="20% - Accent2 4 2 2 19" xfId="12711"/>
    <cellStyle name="20% - Accent2 4 2 2 19 2" xfId="35486"/>
    <cellStyle name="20% - Accent2 4 2 2 2" xfId="903"/>
    <cellStyle name="20% - Accent2 4 2 2 2 10" xfId="8447"/>
    <cellStyle name="20% - Accent2 4 2 2 2 10 2" xfId="31222"/>
    <cellStyle name="20% - Accent2 4 2 2 2 11" xfId="9103"/>
    <cellStyle name="20% - Accent2 4 2 2 2 11 2" xfId="31878"/>
    <cellStyle name="20% - Accent2 4 2 2 2 12" xfId="9759"/>
    <cellStyle name="20% - Accent2 4 2 2 2 12 2" xfId="32534"/>
    <cellStyle name="20% - Accent2 4 2 2 2 13" xfId="10415"/>
    <cellStyle name="20% - Accent2 4 2 2 2 13 2" xfId="33190"/>
    <cellStyle name="20% - Accent2 4 2 2 2 14" xfId="11071"/>
    <cellStyle name="20% - Accent2 4 2 2 2 14 2" xfId="33846"/>
    <cellStyle name="20% - Accent2 4 2 2 2 15" xfId="11727"/>
    <cellStyle name="20% - Accent2 4 2 2 2 15 2" xfId="34502"/>
    <cellStyle name="20% - Accent2 4 2 2 2 16" xfId="12383"/>
    <cellStyle name="20% - Accent2 4 2 2 2 16 2" xfId="35158"/>
    <cellStyle name="20% - Accent2 4 2 2 2 17" xfId="13039"/>
    <cellStyle name="20% - Accent2 4 2 2 2 17 2" xfId="35814"/>
    <cellStyle name="20% - Accent2 4 2 2 2 18" xfId="13695"/>
    <cellStyle name="20% - Accent2 4 2 2 2 18 2" xfId="36470"/>
    <cellStyle name="20% - Accent2 4 2 2 2 19" xfId="14351"/>
    <cellStyle name="20% - Accent2 4 2 2 2 19 2" xfId="37126"/>
    <cellStyle name="20% - Accent2 4 2 2 2 2" xfId="1559"/>
    <cellStyle name="20% - Accent2 4 2 2 2 2 2" xfId="3855"/>
    <cellStyle name="20% - Accent2 4 2 2 2 2 2 2" xfId="26630"/>
    <cellStyle name="20% - Accent2 4 2 2 2 2 3" xfId="24334"/>
    <cellStyle name="20% - Accent2 4 2 2 2 20" xfId="15007"/>
    <cellStyle name="20% - Accent2 4 2 2 2 20 2" xfId="37782"/>
    <cellStyle name="20% - Accent2 4 2 2 2 21" xfId="15663"/>
    <cellStyle name="20% - Accent2 4 2 2 2 21 2" xfId="38438"/>
    <cellStyle name="20% - Accent2 4 2 2 2 22" xfId="16319"/>
    <cellStyle name="20% - Accent2 4 2 2 2 22 2" xfId="39094"/>
    <cellStyle name="20% - Accent2 4 2 2 2 23" xfId="16975"/>
    <cellStyle name="20% - Accent2 4 2 2 2 23 2" xfId="39750"/>
    <cellStyle name="20% - Accent2 4 2 2 2 24" xfId="17631"/>
    <cellStyle name="20% - Accent2 4 2 2 2 24 2" xfId="40406"/>
    <cellStyle name="20% - Accent2 4 2 2 2 25" xfId="18287"/>
    <cellStyle name="20% - Accent2 4 2 2 2 25 2" xfId="41062"/>
    <cellStyle name="20% - Accent2 4 2 2 2 26" xfId="18943"/>
    <cellStyle name="20% - Accent2 4 2 2 2 26 2" xfId="41718"/>
    <cellStyle name="20% - Accent2 4 2 2 2 27" xfId="19599"/>
    <cellStyle name="20% - Accent2 4 2 2 2 27 2" xfId="42374"/>
    <cellStyle name="20% - Accent2 4 2 2 2 28" xfId="20255"/>
    <cellStyle name="20% - Accent2 4 2 2 2 28 2" xfId="43030"/>
    <cellStyle name="20% - Accent2 4 2 2 2 29" xfId="20911"/>
    <cellStyle name="20% - Accent2 4 2 2 2 29 2" xfId="43686"/>
    <cellStyle name="20% - Accent2 4 2 2 2 3" xfId="2215"/>
    <cellStyle name="20% - Accent2 4 2 2 2 3 2" xfId="4511"/>
    <cellStyle name="20% - Accent2 4 2 2 2 3 2 2" xfId="27286"/>
    <cellStyle name="20% - Accent2 4 2 2 2 3 3" xfId="24990"/>
    <cellStyle name="20% - Accent2 4 2 2 2 30" xfId="21567"/>
    <cellStyle name="20% - Accent2 4 2 2 2 30 2" xfId="44342"/>
    <cellStyle name="20% - Accent2 4 2 2 2 31" xfId="22223"/>
    <cellStyle name="20% - Accent2 4 2 2 2 31 2" xfId="44998"/>
    <cellStyle name="20% - Accent2 4 2 2 2 32" xfId="22879"/>
    <cellStyle name="20% - Accent2 4 2 2 2 32 2" xfId="45654"/>
    <cellStyle name="20% - Accent2 4 2 2 2 33" xfId="23678"/>
    <cellStyle name="20% - Accent2 4 2 2 2 4" xfId="5167"/>
    <cellStyle name="20% - Accent2 4 2 2 2 4 2" xfId="27942"/>
    <cellStyle name="20% - Accent2 4 2 2 2 5" xfId="5823"/>
    <cellStyle name="20% - Accent2 4 2 2 2 5 2" xfId="28598"/>
    <cellStyle name="20% - Accent2 4 2 2 2 6" xfId="6479"/>
    <cellStyle name="20% - Accent2 4 2 2 2 6 2" xfId="29254"/>
    <cellStyle name="20% - Accent2 4 2 2 2 7" xfId="3199"/>
    <cellStyle name="20% - Accent2 4 2 2 2 7 2" xfId="25974"/>
    <cellStyle name="20% - Accent2 4 2 2 2 8" xfId="7135"/>
    <cellStyle name="20% - Accent2 4 2 2 2 8 2" xfId="29910"/>
    <cellStyle name="20% - Accent2 4 2 2 2 9" xfId="7791"/>
    <cellStyle name="20% - Accent2 4 2 2 2 9 2" xfId="30566"/>
    <cellStyle name="20% - Accent2 4 2 2 20" xfId="13367"/>
    <cellStyle name="20% - Accent2 4 2 2 20 2" xfId="36142"/>
    <cellStyle name="20% - Accent2 4 2 2 21" xfId="14023"/>
    <cellStyle name="20% - Accent2 4 2 2 21 2" xfId="36798"/>
    <cellStyle name="20% - Accent2 4 2 2 22" xfId="14679"/>
    <cellStyle name="20% - Accent2 4 2 2 22 2" xfId="37454"/>
    <cellStyle name="20% - Accent2 4 2 2 23" xfId="15335"/>
    <cellStyle name="20% - Accent2 4 2 2 23 2" xfId="38110"/>
    <cellStyle name="20% - Accent2 4 2 2 24" xfId="15991"/>
    <cellStyle name="20% - Accent2 4 2 2 24 2" xfId="38766"/>
    <cellStyle name="20% - Accent2 4 2 2 25" xfId="16647"/>
    <cellStyle name="20% - Accent2 4 2 2 25 2" xfId="39422"/>
    <cellStyle name="20% - Accent2 4 2 2 26" xfId="17303"/>
    <cellStyle name="20% - Accent2 4 2 2 26 2" xfId="40078"/>
    <cellStyle name="20% - Accent2 4 2 2 27" xfId="17959"/>
    <cellStyle name="20% - Accent2 4 2 2 27 2" xfId="40734"/>
    <cellStyle name="20% - Accent2 4 2 2 28" xfId="18615"/>
    <cellStyle name="20% - Accent2 4 2 2 28 2" xfId="41390"/>
    <cellStyle name="20% - Accent2 4 2 2 29" xfId="19271"/>
    <cellStyle name="20% - Accent2 4 2 2 29 2" xfId="42046"/>
    <cellStyle name="20% - Accent2 4 2 2 3" xfId="1231"/>
    <cellStyle name="20% - Accent2 4 2 2 3 2" xfId="2871"/>
    <cellStyle name="20% - Accent2 4 2 2 3 2 2" xfId="25646"/>
    <cellStyle name="20% - Accent2 4 2 2 3 3" xfId="24006"/>
    <cellStyle name="20% - Accent2 4 2 2 30" xfId="19927"/>
    <cellStyle name="20% - Accent2 4 2 2 30 2" xfId="42702"/>
    <cellStyle name="20% - Accent2 4 2 2 31" xfId="20583"/>
    <cellStyle name="20% - Accent2 4 2 2 31 2" xfId="43358"/>
    <cellStyle name="20% - Accent2 4 2 2 32" xfId="21239"/>
    <cellStyle name="20% - Accent2 4 2 2 32 2" xfId="44014"/>
    <cellStyle name="20% - Accent2 4 2 2 33" xfId="21895"/>
    <cellStyle name="20% - Accent2 4 2 2 33 2" xfId="44670"/>
    <cellStyle name="20% - Accent2 4 2 2 34" xfId="22551"/>
    <cellStyle name="20% - Accent2 4 2 2 34 2" xfId="45326"/>
    <cellStyle name="20% - Accent2 4 2 2 35" xfId="23350"/>
    <cellStyle name="20% - Accent2 4 2 2 4" xfId="1887"/>
    <cellStyle name="20% - Accent2 4 2 2 4 2" xfId="3527"/>
    <cellStyle name="20% - Accent2 4 2 2 4 2 2" xfId="26302"/>
    <cellStyle name="20% - Accent2 4 2 2 4 3" xfId="24662"/>
    <cellStyle name="20% - Accent2 4 2 2 5" xfId="4183"/>
    <cellStyle name="20% - Accent2 4 2 2 5 2" xfId="26958"/>
    <cellStyle name="20% - Accent2 4 2 2 6" xfId="4839"/>
    <cellStyle name="20% - Accent2 4 2 2 6 2" xfId="27614"/>
    <cellStyle name="20% - Accent2 4 2 2 7" xfId="5495"/>
    <cellStyle name="20% - Accent2 4 2 2 7 2" xfId="28270"/>
    <cellStyle name="20% - Accent2 4 2 2 8" xfId="6151"/>
    <cellStyle name="20% - Accent2 4 2 2 8 2" xfId="28926"/>
    <cellStyle name="20% - Accent2 4 2 2 9" xfId="2543"/>
    <cellStyle name="20% - Accent2 4 2 2 9 2" xfId="25318"/>
    <cellStyle name="20% - Accent2 4 2 20" xfId="12526"/>
    <cellStyle name="20% - Accent2 4 2 20 2" xfId="35301"/>
    <cellStyle name="20% - Accent2 4 2 21" xfId="13182"/>
    <cellStyle name="20% - Accent2 4 2 21 2" xfId="35957"/>
    <cellStyle name="20% - Accent2 4 2 22" xfId="13838"/>
    <cellStyle name="20% - Accent2 4 2 22 2" xfId="36613"/>
    <cellStyle name="20% - Accent2 4 2 23" xfId="14494"/>
    <cellStyle name="20% - Accent2 4 2 23 2" xfId="37269"/>
    <cellStyle name="20% - Accent2 4 2 24" xfId="15150"/>
    <cellStyle name="20% - Accent2 4 2 24 2" xfId="37925"/>
    <cellStyle name="20% - Accent2 4 2 25" xfId="15806"/>
    <cellStyle name="20% - Accent2 4 2 25 2" xfId="38581"/>
    <cellStyle name="20% - Accent2 4 2 26" xfId="16462"/>
    <cellStyle name="20% - Accent2 4 2 26 2" xfId="39237"/>
    <cellStyle name="20% - Accent2 4 2 27" xfId="17118"/>
    <cellStyle name="20% - Accent2 4 2 27 2" xfId="39893"/>
    <cellStyle name="20% - Accent2 4 2 28" xfId="17774"/>
    <cellStyle name="20% - Accent2 4 2 28 2" xfId="40549"/>
    <cellStyle name="20% - Accent2 4 2 29" xfId="18430"/>
    <cellStyle name="20% - Accent2 4 2 29 2" xfId="41205"/>
    <cellStyle name="20% - Accent2 4 2 3" xfId="718"/>
    <cellStyle name="20% - Accent2 4 2 3 10" xfId="8262"/>
    <cellStyle name="20% - Accent2 4 2 3 10 2" xfId="31037"/>
    <cellStyle name="20% - Accent2 4 2 3 11" xfId="8918"/>
    <cellStyle name="20% - Accent2 4 2 3 11 2" xfId="31693"/>
    <cellStyle name="20% - Accent2 4 2 3 12" xfId="9574"/>
    <cellStyle name="20% - Accent2 4 2 3 12 2" xfId="32349"/>
    <cellStyle name="20% - Accent2 4 2 3 13" xfId="10230"/>
    <cellStyle name="20% - Accent2 4 2 3 13 2" xfId="33005"/>
    <cellStyle name="20% - Accent2 4 2 3 14" xfId="10886"/>
    <cellStyle name="20% - Accent2 4 2 3 14 2" xfId="33661"/>
    <cellStyle name="20% - Accent2 4 2 3 15" xfId="11542"/>
    <cellStyle name="20% - Accent2 4 2 3 15 2" xfId="34317"/>
    <cellStyle name="20% - Accent2 4 2 3 16" xfId="12198"/>
    <cellStyle name="20% - Accent2 4 2 3 16 2" xfId="34973"/>
    <cellStyle name="20% - Accent2 4 2 3 17" xfId="12854"/>
    <cellStyle name="20% - Accent2 4 2 3 17 2" xfId="35629"/>
    <cellStyle name="20% - Accent2 4 2 3 18" xfId="13510"/>
    <cellStyle name="20% - Accent2 4 2 3 18 2" xfId="36285"/>
    <cellStyle name="20% - Accent2 4 2 3 19" xfId="14166"/>
    <cellStyle name="20% - Accent2 4 2 3 19 2" xfId="36941"/>
    <cellStyle name="20% - Accent2 4 2 3 2" xfId="1374"/>
    <cellStyle name="20% - Accent2 4 2 3 2 2" xfId="3670"/>
    <cellStyle name="20% - Accent2 4 2 3 2 2 2" xfId="26445"/>
    <cellStyle name="20% - Accent2 4 2 3 2 3" xfId="24149"/>
    <cellStyle name="20% - Accent2 4 2 3 20" xfId="14822"/>
    <cellStyle name="20% - Accent2 4 2 3 20 2" xfId="37597"/>
    <cellStyle name="20% - Accent2 4 2 3 21" xfId="15478"/>
    <cellStyle name="20% - Accent2 4 2 3 21 2" xfId="38253"/>
    <cellStyle name="20% - Accent2 4 2 3 22" xfId="16134"/>
    <cellStyle name="20% - Accent2 4 2 3 22 2" xfId="38909"/>
    <cellStyle name="20% - Accent2 4 2 3 23" xfId="16790"/>
    <cellStyle name="20% - Accent2 4 2 3 23 2" xfId="39565"/>
    <cellStyle name="20% - Accent2 4 2 3 24" xfId="17446"/>
    <cellStyle name="20% - Accent2 4 2 3 24 2" xfId="40221"/>
    <cellStyle name="20% - Accent2 4 2 3 25" xfId="18102"/>
    <cellStyle name="20% - Accent2 4 2 3 25 2" xfId="40877"/>
    <cellStyle name="20% - Accent2 4 2 3 26" xfId="18758"/>
    <cellStyle name="20% - Accent2 4 2 3 26 2" xfId="41533"/>
    <cellStyle name="20% - Accent2 4 2 3 27" xfId="19414"/>
    <cellStyle name="20% - Accent2 4 2 3 27 2" xfId="42189"/>
    <cellStyle name="20% - Accent2 4 2 3 28" xfId="20070"/>
    <cellStyle name="20% - Accent2 4 2 3 28 2" xfId="42845"/>
    <cellStyle name="20% - Accent2 4 2 3 29" xfId="20726"/>
    <cellStyle name="20% - Accent2 4 2 3 29 2" xfId="43501"/>
    <cellStyle name="20% - Accent2 4 2 3 3" xfId="2030"/>
    <cellStyle name="20% - Accent2 4 2 3 3 2" xfId="4326"/>
    <cellStyle name="20% - Accent2 4 2 3 3 2 2" xfId="27101"/>
    <cellStyle name="20% - Accent2 4 2 3 3 3" xfId="24805"/>
    <cellStyle name="20% - Accent2 4 2 3 30" xfId="21382"/>
    <cellStyle name="20% - Accent2 4 2 3 30 2" xfId="44157"/>
    <cellStyle name="20% - Accent2 4 2 3 31" xfId="22038"/>
    <cellStyle name="20% - Accent2 4 2 3 31 2" xfId="44813"/>
    <cellStyle name="20% - Accent2 4 2 3 32" xfId="22694"/>
    <cellStyle name="20% - Accent2 4 2 3 32 2" xfId="45469"/>
    <cellStyle name="20% - Accent2 4 2 3 33" xfId="23493"/>
    <cellStyle name="20% - Accent2 4 2 3 4" xfId="4982"/>
    <cellStyle name="20% - Accent2 4 2 3 4 2" xfId="27757"/>
    <cellStyle name="20% - Accent2 4 2 3 5" xfId="5638"/>
    <cellStyle name="20% - Accent2 4 2 3 5 2" xfId="28413"/>
    <cellStyle name="20% - Accent2 4 2 3 6" xfId="6294"/>
    <cellStyle name="20% - Accent2 4 2 3 6 2" xfId="29069"/>
    <cellStyle name="20% - Accent2 4 2 3 7" xfId="3014"/>
    <cellStyle name="20% - Accent2 4 2 3 7 2" xfId="25789"/>
    <cellStyle name="20% - Accent2 4 2 3 8" xfId="6950"/>
    <cellStyle name="20% - Accent2 4 2 3 8 2" xfId="29725"/>
    <cellStyle name="20% - Accent2 4 2 3 9" xfId="7606"/>
    <cellStyle name="20% - Accent2 4 2 3 9 2" xfId="30381"/>
    <cellStyle name="20% - Accent2 4 2 30" xfId="19086"/>
    <cellStyle name="20% - Accent2 4 2 30 2" xfId="41861"/>
    <cellStyle name="20% - Accent2 4 2 31" xfId="19742"/>
    <cellStyle name="20% - Accent2 4 2 31 2" xfId="42517"/>
    <cellStyle name="20% - Accent2 4 2 32" xfId="20398"/>
    <cellStyle name="20% - Accent2 4 2 32 2" xfId="43173"/>
    <cellStyle name="20% - Accent2 4 2 33" xfId="21054"/>
    <cellStyle name="20% - Accent2 4 2 33 2" xfId="43829"/>
    <cellStyle name="20% - Accent2 4 2 34" xfId="21710"/>
    <cellStyle name="20% - Accent2 4 2 34 2" xfId="44485"/>
    <cellStyle name="20% - Accent2 4 2 35" xfId="22366"/>
    <cellStyle name="20% - Accent2 4 2 35 2" xfId="45141"/>
    <cellStyle name="20% - Accent2 4 2 36" xfId="23022"/>
    <cellStyle name="20% - Accent2 4 2 4" xfId="391"/>
    <cellStyle name="20% - Accent2 4 2 4 2" xfId="2686"/>
    <cellStyle name="20% - Accent2 4 2 4 2 2" xfId="25461"/>
    <cellStyle name="20% - Accent2 4 2 4 3" xfId="23165"/>
    <cellStyle name="20% - Accent2 4 2 5" xfId="1046"/>
    <cellStyle name="20% - Accent2 4 2 5 2" xfId="3342"/>
    <cellStyle name="20% - Accent2 4 2 5 2 2" xfId="26117"/>
    <cellStyle name="20% - Accent2 4 2 5 3" xfId="23821"/>
    <cellStyle name="20% - Accent2 4 2 6" xfId="1702"/>
    <cellStyle name="20% - Accent2 4 2 6 2" xfId="3998"/>
    <cellStyle name="20% - Accent2 4 2 6 2 2" xfId="26773"/>
    <cellStyle name="20% - Accent2 4 2 6 3" xfId="24477"/>
    <cellStyle name="20% - Accent2 4 2 7" xfId="4654"/>
    <cellStyle name="20% - Accent2 4 2 7 2" xfId="27429"/>
    <cellStyle name="20% - Accent2 4 2 8" xfId="5310"/>
    <cellStyle name="20% - Accent2 4 2 8 2" xfId="28085"/>
    <cellStyle name="20% - Accent2 4 2 9" xfId="5966"/>
    <cellStyle name="20% - Accent2 4 2 9 2" xfId="28741"/>
    <cellStyle name="20% - Accent2 4 20" xfId="11799"/>
    <cellStyle name="20% - Accent2 4 20 2" xfId="34574"/>
    <cellStyle name="20% - Accent2 4 21" xfId="12455"/>
    <cellStyle name="20% - Accent2 4 21 2" xfId="35230"/>
    <cellStyle name="20% - Accent2 4 22" xfId="13111"/>
    <cellStyle name="20% - Accent2 4 22 2" xfId="35886"/>
    <cellStyle name="20% - Accent2 4 23" xfId="13767"/>
    <cellStyle name="20% - Accent2 4 23 2" xfId="36542"/>
    <cellStyle name="20% - Accent2 4 24" xfId="14423"/>
    <cellStyle name="20% - Accent2 4 24 2" xfId="37198"/>
    <cellStyle name="20% - Accent2 4 25" xfId="15079"/>
    <cellStyle name="20% - Accent2 4 25 2" xfId="37854"/>
    <cellStyle name="20% - Accent2 4 26" xfId="15735"/>
    <cellStyle name="20% - Accent2 4 26 2" xfId="38510"/>
    <cellStyle name="20% - Accent2 4 27" xfId="16391"/>
    <cellStyle name="20% - Accent2 4 27 2" xfId="39166"/>
    <cellStyle name="20% - Accent2 4 28" xfId="17047"/>
    <cellStyle name="20% - Accent2 4 28 2" xfId="39822"/>
    <cellStyle name="20% - Accent2 4 29" xfId="17703"/>
    <cellStyle name="20% - Accent2 4 29 2" xfId="40478"/>
    <cellStyle name="20% - Accent2 4 3" xfId="504"/>
    <cellStyle name="20% - Accent2 4 3 10" xfId="6736"/>
    <cellStyle name="20% - Accent2 4 3 10 2" xfId="29511"/>
    <cellStyle name="20% - Accent2 4 3 11" xfId="7392"/>
    <cellStyle name="20% - Accent2 4 3 11 2" xfId="30167"/>
    <cellStyle name="20% - Accent2 4 3 12" xfId="8048"/>
    <cellStyle name="20% - Accent2 4 3 12 2" xfId="30823"/>
    <cellStyle name="20% - Accent2 4 3 13" xfId="8704"/>
    <cellStyle name="20% - Accent2 4 3 13 2" xfId="31479"/>
    <cellStyle name="20% - Accent2 4 3 14" xfId="9360"/>
    <cellStyle name="20% - Accent2 4 3 14 2" xfId="32135"/>
    <cellStyle name="20% - Accent2 4 3 15" xfId="10016"/>
    <cellStyle name="20% - Accent2 4 3 15 2" xfId="32791"/>
    <cellStyle name="20% - Accent2 4 3 16" xfId="10672"/>
    <cellStyle name="20% - Accent2 4 3 16 2" xfId="33447"/>
    <cellStyle name="20% - Accent2 4 3 17" xfId="11328"/>
    <cellStyle name="20% - Accent2 4 3 17 2" xfId="34103"/>
    <cellStyle name="20% - Accent2 4 3 18" xfId="11984"/>
    <cellStyle name="20% - Accent2 4 3 18 2" xfId="34759"/>
    <cellStyle name="20% - Accent2 4 3 19" xfId="12640"/>
    <cellStyle name="20% - Accent2 4 3 19 2" xfId="35415"/>
    <cellStyle name="20% - Accent2 4 3 2" xfId="832"/>
    <cellStyle name="20% - Accent2 4 3 2 10" xfId="8376"/>
    <cellStyle name="20% - Accent2 4 3 2 10 2" xfId="31151"/>
    <cellStyle name="20% - Accent2 4 3 2 11" xfId="9032"/>
    <cellStyle name="20% - Accent2 4 3 2 11 2" xfId="31807"/>
    <cellStyle name="20% - Accent2 4 3 2 12" xfId="9688"/>
    <cellStyle name="20% - Accent2 4 3 2 12 2" xfId="32463"/>
    <cellStyle name="20% - Accent2 4 3 2 13" xfId="10344"/>
    <cellStyle name="20% - Accent2 4 3 2 13 2" xfId="33119"/>
    <cellStyle name="20% - Accent2 4 3 2 14" xfId="11000"/>
    <cellStyle name="20% - Accent2 4 3 2 14 2" xfId="33775"/>
    <cellStyle name="20% - Accent2 4 3 2 15" xfId="11656"/>
    <cellStyle name="20% - Accent2 4 3 2 15 2" xfId="34431"/>
    <cellStyle name="20% - Accent2 4 3 2 16" xfId="12312"/>
    <cellStyle name="20% - Accent2 4 3 2 16 2" xfId="35087"/>
    <cellStyle name="20% - Accent2 4 3 2 17" xfId="12968"/>
    <cellStyle name="20% - Accent2 4 3 2 17 2" xfId="35743"/>
    <cellStyle name="20% - Accent2 4 3 2 18" xfId="13624"/>
    <cellStyle name="20% - Accent2 4 3 2 18 2" xfId="36399"/>
    <cellStyle name="20% - Accent2 4 3 2 19" xfId="14280"/>
    <cellStyle name="20% - Accent2 4 3 2 19 2" xfId="37055"/>
    <cellStyle name="20% - Accent2 4 3 2 2" xfId="1488"/>
    <cellStyle name="20% - Accent2 4 3 2 2 2" xfId="3784"/>
    <cellStyle name="20% - Accent2 4 3 2 2 2 2" xfId="26559"/>
    <cellStyle name="20% - Accent2 4 3 2 2 3" xfId="24263"/>
    <cellStyle name="20% - Accent2 4 3 2 20" xfId="14936"/>
    <cellStyle name="20% - Accent2 4 3 2 20 2" xfId="37711"/>
    <cellStyle name="20% - Accent2 4 3 2 21" xfId="15592"/>
    <cellStyle name="20% - Accent2 4 3 2 21 2" xfId="38367"/>
    <cellStyle name="20% - Accent2 4 3 2 22" xfId="16248"/>
    <cellStyle name="20% - Accent2 4 3 2 22 2" xfId="39023"/>
    <cellStyle name="20% - Accent2 4 3 2 23" xfId="16904"/>
    <cellStyle name="20% - Accent2 4 3 2 23 2" xfId="39679"/>
    <cellStyle name="20% - Accent2 4 3 2 24" xfId="17560"/>
    <cellStyle name="20% - Accent2 4 3 2 24 2" xfId="40335"/>
    <cellStyle name="20% - Accent2 4 3 2 25" xfId="18216"/>
    <cellStyle name="20% - Accent2 4 3 2 25 2" xfId="40991"/>
    <cellStyle name="20% - Accent2 4 3 2 26" xfId="18872"/>
    <cellStyle name="20% - Accent2 4 3 2 26 2" xfId="41647"/>
    <cellStyle name="20% - Accent2 4 3 2 27" xfId="19528"/>
    <cellStyle name="20% - Accent2 4 3 2 27 2" xfId="42303"/>
    <cellStyle name="20% - Accent2 4 3 2 28" xfId="20184"/>
    <cellStyle name="20% - Accent2 4 3 2 28 2" xfId="42959"/>
    <cellStyle name="20% - Accent2 4 3 2 29" xfId="20840"/>
    <cellStyle name="20% - Accent2 4 3 2 29 2" xfId="43615"/>
    <cellStyle name="20% - Accent2 4 3 2 3" xfId="2144"/>
    <cellStyle name="20% - Accent2 4 3 2 3 2" xfId="4440"/>
    <cellStyle name="20% - Accent2 4 3 2 3 2 2" xfId="27215"/>
    <cellStyle name="20% - Accent2 4 3 2 3 3" xfId="24919"/>
    <cellStyle name="20% - Accent2 4 3 2 30" xfId="21496"/>
    <cellStyle name="20% - Accent2 4 3 2 30 2" xfId="44271"/>
    <cellStyle name="20% - Accent2 4 3 2 31" xfId="22152"/>
    <cellStyle name="20% - Accent2 4 3 2 31 2" xfId="44927"/>
    <cellStyle name="20% - Accent2 4 3 2 32" xfId="22808"/>
    <cellStyle name="20% - Accent2 4 3 2 32 2" xfId="45583"/>
    <cellStyle name="20% - Accent2 4 3 2 33" xfId="23607"/>
    <cellStyle name="20% - Accent2 4 3 2 4" xfId="5096"/>
    <cellStyle name="20% - Accent2 4 3 2 4 2" xfId="27871"/>
    <cellStyle name="20% - Accent2 4 3 2 5" xfId="5752"/>
    <cellStyle name="20% - Accent2 4 3 2 5 2" xfId="28527"/>
    <cellStyle name="20% - Accent2 4 3 2 6" xfId="6408"/>
    <cellStyle name="20% - Accent2 4 3 2 6 2" xfId="29183"/>
    <cellStyle name="20% - Accent2 4 3 2 7" xfId="3128"/>
    <cellStyle name="20% - Accent2 4 3 2 7 2" xfId="25903"/>
    <cellStyle name="20% - Accent2 4 3 2 8" xfId="7064"/>
    <cellStyle name="20% - Accent2 4 3 2 8 2" xfId="29839"/>
    <cellStyle name="20% - Accent2 4 3 2 9" xfId="7720"/>
    <cellStyle name="20% - Accent2 4 3 2 9 2" xfId="30495"/>
    <cellStyle name="20% - Accent2 4 3 20" xfId="13296"/>
    <cellStyle name="20% - Accent2 4 3 20 2" xfId="36071"/>
    <cellStyle name="20% - Accent2 4 3 21" xfId="13952"/>
    <cellStyle name="20% - Accent2 4 3 21 2" xfId="36727"/>
    <cellStyle name="20% - Accent2 4 3 22" xfId="14608"/>
    <cellStyle name="20% - Accent2 4 3 22 2" xfId="37383"/>
    <cellStyle name="20% - Accent2 4 3 23" xfId="15264"/>
    <cellStyle name="20% - Accent2 4 3 23 2" xfId="38039"/>
    <cellStyle name="20% - Accent2 4 3 24" xfId="15920"/>
    <cellStyle name="20% - Accent2 4 3 24 2" xfId="38695"/>
    <cellStyle name="20% - Accent2 4 3 25" xfId="16576"/>
    <cellStyle name="20% - Accent2 4 3 25 2" xfId="39351"/>
    <cellStyle name="20% - Accent2 4 3 26" xfId="17232"/>
    <cellStyle name="20% - Accent2 4 3 26 2" xfId="40007"/>
    <cellStyle name="20% - Accent2 4 3 27" xfId="17888"/>
    <cellStyle name="20% - Accent2 4 3 27 2" xfId="40663"/>
    <cellStyle name="20% - Accent2 4 3 28" xfId="18544"/>
    <cellStyle name="20% - Accent2 4 3 28 2" xfId="41319"/>
    <cellStyle name="20% - Accent2 4 3 29" xfId="19200"/>
    <cellStyle name="20% - Accent2 4 3 29 2" xfId="41975"/>
    <cellStyle name="20% - Accent2 4 3 3" xfId="1160"/>
    <cellStyle name="20% - Accent2 4 3 3 2" xfId="2800"/>
    <cellStyle name="20% - Accent2 4 3 3 2 2" xfId="25575"/>
    <cellStyle name="20% - Accent2 4 3 3 3" xfId="23935"/>
    <cellStyle name="20% - Accent2 4 3 30" xfId="19856"/>
    <cellStyle name="20% - Accent2 4 3 30 2" xfId="42631"/>
    <cellStyle name="20% - Accent2 4 3 31" xfId="20512"/>
    <cellStyle name="20% - Accent2 4 3 31 2" xfId="43287"/>
    <cellStyle name="20% - Accent2 4 3 32" xfId="21168"/>
    <cellStyle name="20% - Accent2 4 3 32 2" xfId="43943"/>
    <cellStyle name="20% - Accent2 4 3 33" xfId="21824"/>
    <cellStyle name="20% - Accent2 4 3 33 2" xfId="44599"/>
    <cellStyle name="20% - Accent2 4 3 34" xfId="22480"/>
    <cellStyle name="20% - Accent2 4 3 34 2" xfId="45255"/>
    <cellStyle name="20% - Accent2 4 3 35" xfId="23279"/>
    <cellStyle name="20% - Accent2 4 3 4" xfId="1816"/>
    <cellStyle name="20% - Accent2 4 3 4 2" xfId="3456"/>
    <cellStyle name="20% - Accent2 4 3 4 2 2" xfId="26231"/>
    <cellStyle name="20% - Accent2 4 3 4 3" xfId="24591"/>
    <cellStyle name="20% - Accent2 4 3 5" xfId="4112"/>
    <cellStyle name="20% - Accent2 4 3 5 2" xfId="26887"/>
    <cellStyle name="20% - Accent2 4 3 6" xfId="4768"/>
    <cellStyle name="20% - Accent2 4 3 6 2" xfId="27543"/>
    <cellStyle name="20% - Accent2 4 3 7" xfId="5424"/>
    <cellStyle name="20% - Accent2 4 3 7 2" xfId="28199"/>
    <cellStyle name="20% - Accent2 4 3 8" xfId="6080"/>
    <cellStyle name="20% - Accent2 4 3 8 2" xfId="28855"/>
    <cellStyle name="20% - Accent2 4 3 9" xfId="2472"/>
    <cellStyle name="20% - Accent2 4 3 9 2" xfId="25247"/>
    <cellStyle name="20% - Accent2 4 30" xfId="18359"/>
    <cellStyle name="20% - Accent2 4 30 2" xfId="41134"/>
    <cellStyle name="20% - Accent2 4 31" xfId="19015"/>
    <cellStyle name="20% - Accent2 4 31 2" xfId="41790"/>
    <cellStyle name="20% - Accent2 4 32" xfId="19671"/>
    <cellStyle name="20% - Accent2 4 32 2" xfId="42446"/>
    <cellStyle name="20% - Accent2 4 33" xfId="20327"/>
    <cellStyle name="20% - Accent2 4 33 2" xfId="43102"/>
    <cellStyle name="20% - Accent2 4 34" xfId="20983"/>
    <cellStyle name="20% - Accent2 4 34 2" xfId="43758"/>
    <cellStyle name="20% - Accent2 4 35" xfId="21639"/>
    <cellStyle name="20% - Accent2 4 35 2" xfId="44414"/>
    <cellStyle name="20% - Accent2 4 36" xfId="22295"/>
    <cellStyle name="20% - Accent2 4 36 2" xfId="45070"/>
    <cellStyle name="20% - Accent2 4 37" xfId="234"/>
    <cellStyle name="20% - Accent2 4 38" xfId="22951"/>
    <cellStyle name="20% - Accent2 4 4" xfId="647"/>
    <cellStyle name="20% - Accent2 4 4 10" xfId="8191"/>
    <cellStyle name="20% - Accent2 4 4 10 2" xfId="30966"/>
    <cellStyle name="20% - Accent2 4 4 11" xfId="8847"/>
    <cellStyle name="20% - Accent2 4 4 11 2" xfId="31622"/>
    <cellStyle name="20% - Accent2 4 4 12" xfId="9503"/>
    <cellStyle name="20% - Accent2 4 4 12 2" xfId="32278"/>
    <cellStyle name="20% - Accent2 4 4 13" xfId="10159"/>
    <cellStyle name="20% - Accent2 4 4 13 2" xfId="32934"/>
    <cellStyle name="20% - Accent2 4 4 14" xfId="10815"/>
    <cellStyle name="20% - Accent2 4 4 14 2" xfId="33590"/>
    <cellStyle name="20% - Accent2 4 4 15" xfId="11471"/>
    <cellStyle name="20% - Accent2 4 4 15 2" xfId="34246"/>
    <cellStyle name="20% - Accent2 4 4 16" xfId="12127"/>
    <cellStyle name="20% - Accent2 4 4 16 2" xfId="34902"/>
    <cellStyle name="20% - Accent2 4 4 17" xfId="12783"/>
    <cellStyle name="20% - Accent2 4 4 17 2" xfId="35558"/>
    <cellStyle name="20% - Accent2 4 4 18" xfId="13439"/>
    <cellStyle name="20% - Accent2 4 4 18 2" xfId="36214"/>
    <cellStyle name="20% - Accent2 4 4 19" xfId="14095"/>
    <cellStyle name="20% - Accent2 4 4 19 2" xfId="36870"/>
    <cellStyle name="20% - Accent2 4 4 2" xfId="1303"/>
    <cellStyle name="20% - Accent2 4 4 2 2" xfId="3599"/>
    <cellStyle name="20% - Accent2 4 4 2 2 2" xfId="26374"/>
    <cellStyle name="20% - Accent2 4 4 2 3" xfId="24078"/>
    <cellStyle name="20% - Accent2 4 4 20" xfId="14751"/>
    <cellStyle name="20% - Accent2 4 4 20 2" xfId="37526"/>
    <cellStyle name="20% - Accent2 4 4 21" xfId="15407"/>
    <cellStyle name="20% - Accent2 4 4 21 2" xfId="38182"/>
    <cellStyle name="20% - Accent2 4 4 22" xfId="16063"/>
    <cellStyle name="20% - Accent2 4 4 22 2" xfId="38838"/>
    <cellStyle name="20% - Accent2 4 4 23" xfId="16719"/>
    <cellStyle name="20% - Accent2 4 4 23 2" xfId="39494"/>
    <cellStyle name="20% - Accent2 4 4 24" xfId="17375"/>
    <cellStyle name="20% - Accent2 4 4 24 2" xfId="40150"/>
    <cellStyle name="20% - Accent2 4 4 25" xfId="18031"/>
    <cellStyle name="20% - Accent2 4 4 25 2" xfId="40806"/>
    <cellStyle name="20% - Accent2 4 4 26" xfId="18687"/>
    <cellStyle name="20% - Accent2 4 4 26 2" xfId="41462"/>
    <cellStyle name="20% - Accent2 4 4 27" xfId="19343"/>
    <cellStyle name="20% - Accent2 4 4 27 2" xfId="42118"/>
    <cellStyle name="20% - Accent2 4 4 28" xfId="19999"/>
    <cellStyle name="20% - Accent2 4 4 28 2" xfId="42774"/>
    <cellStyle name="20% - Accent2 4 4 29" xfId="20655"/>
    <cellStyle name="20% - Accent2 4 4 29 2" xfId="43430"/>
    <cellStyle name="20% - Accent2 4 4 3" xfId="1959"/>
    <cellStyle name="20% - Accent2 4 4 3 2" xfId="4255"/>
    <cellStyle name="20% - Accent2 4 4 3 2 2" xfId="27030"/>
    <cellStyle name="20% - Accent2 4 4 3 3" xfId="24734"/>
    <cellStyle name="20% - Accent2 4 4 30" xfId="21311"/>
    <cellStyle name="20% - Accent2 4 4 30 2" xfId="44086"/>
    <cellStyle name="20% - Accent2 4 4 31" xfId="21967"/>
    <cellStyle name="20% - Accent2 4 4 31 2" xfId="44742"/>
    <cellStyle name="20% - Accent2 4 4 32" xfId="22623"/>
    <cellStyle name="20% - Accent2 4 4 32 2" xfId="45398"/>
    <cellStyle name="20% - Accent2 4 4 33" xfId="23422"/>
    <cellStyle name="20% - Accent2 4 4 4" xfId="4911"/>
    <cellStyle name="20% - Accent2 4 4 4 2" xfId="27686"/>
    <cellStyle name="20% - Accent2 4 4 5" xfId="5567"/>
    <cellStyle name="20% - Accent2 4 4 5 2" xfId="28342"/>
    <cellStyle name="20% - Accent2 4 4 6" xfId="6223"/>
    <cellStyle name="20% - Accent2 4 4 6 2" xfId="28998"/>
    <cellStyle name="20% - Accent2 4 4 7" xfId="2943"/>
    <cellStyle name="20% - Accent2 4 4 7 2" xfId="25718"/>
    <cellStyle name="20% - Accent2 4 4 8" xfId="6879"/>
    <cellStyle name="20% - Accent2 4 4 8 2" xfId="29654"/>
    <cellStyle name="20% - Accent2 4 4 9" xfId="7535"/>
    <cellStyle name="20% - Accent2 4 4 9 2" xfId="30310"/>
    <cellStyle name="20% - Accent2 4 5" xfId="320"/>
    <cellStyle name="20% - Accent2 4 5 2" xfId="2615"/>
    <cellStyle name="20% - Accent2 4 5 2 2" xfId="25390"/>
    <cellStyle name="20% - Accent2 4 5 3" xfId="23094"/>
    <cellStyle name="20% - Accent2 4 6" xfId="975"/>
    <cellStyle name="20% - Accent2 4 6 2" xfId="3271"/>
    <cellStyle name="20% - Accent2 4 6 2 2" xfId="26046"/>
    <cellStyle name="20% - Accent2 4 6 3" xfId="23750"/>
    <cellStyle name="20% - Accent2 4 7" xfId="1631"/>
    <cellStyle name="20% - Accent2 4 7 2" xfId="3927"/>
    <cellStyle name="20% - Accent2 4 7 2 2" xfId="26702"/>
    <cellStyle name="20% - Accent2 4 7 3" xfId="24406"/>
    <cellStyle name="20% - Accent2 4 8" xfId="4583"/>
    <cellStyle name="20% - Accent2 4 8 2" xfId="27358"/>
    <cellStyle name="20% - Accent2 4 9" xfId="5239"/>
    <cellStyle name="20% - Accent2 4 9 2" xfId="28014"/>
    <cellStyle name="20% - Accent2 40" xfId="20282"/>
    <cellStyle name="20% - Accent2 40 2" xfId="43057"/>
    <cellStyle name="20% - Accent2 41" xfId="20938"/>
    <cellStyle name="20% - Accent2 41 2" xfId="43713"/>
    <cellStyle name="20% - Accent2 42" xfId="21594"/>
    <cellStyle name="20% - Accent2 42 2" xfId="44369"/>
    <cellStyle name="20% - Accent2 43" xfId="22250"/>
    <cellStyle name="20% - Accent2 43 2" xfId="45025"/>
    <cellStyle name="20% - Accent2 44" xfId="189"/>
    <cellStyle name="20% - Accent2 45" xfId="22906"/>
    <cellStyle name="20% - Accent2 5" xfId="103"/>
    <cellStyle name="20% - Accent2 5 10" xfId="5909"/>
    <cellStyle name="20% - Accent2 5 10 2" xfId="28684"/>
    <cellStyle name="20% - Accent2 5 11" xfId="2301"/>
    <cellStyle name="20% - Accent2 5 11 2" xfId="25076"/>
    <cellStyle name="20% - Accent2 5 12" xfId="6565"/>
    <cellStyle name="20% - Accent2 5 12 2" xfId="29340"/>
    <cellStyle name="20% - Accent2 5 13" xfId="7221"/>
    <cellStyle name="20% - Accent2 5 13 2" xfId="29996"/>
    <cellStyle name="20% - Accent2 5 14" xfId="7877"/>
    <cellStyle name="20% - Accent2 5 14 2" xfId="30652"/>
    <cellStyle name="20% - Accent2 5 15" xfId="8533"/>
    <cellStyle name="20% - Accent2 5 15 2" xfId="31308"/>
    <cellStyle name="20% - Accent2 5 16" xfId="9189"/>
    <cellStyle name="20% - Accent2 5 16 2" xfId="31964"/>
    <cellStyle name="20% - Accent2 5 17" xfId="9845"/>
    <cellStyle name="20% - Accent2 5 17 2" xfId="32620"/>
    <cellStyle name="20% - Accent2 5 18" xfId="10501"/>
    <cellStyle name="20% - Accent2 5 18 2" xfId="33276"/>
    <cellStyle name="20% - Accent2 5 19" xfId="11157"/>
    <cellStyle name="20% - Accent2 5 19 2" xfId="33932"/>
    <cellStyle name="20% - Accent2 5 2" xfId="174"/>
    <cellStyle name="20% - Accent2 5 2 10" xfId="2372"/>
    <cellStyle name="20% - Accent2 5 2 10 2" xfId="25147"/>
    <cellStyle name="20% - Accent2 5 2 11" xfId="6636"/>
    <cellStyle name="20% - Accent2 5 2 11 2" xfId="29411"/>
    <cellStyle name="20% - Accent2 5 2 12" xfId="7292"/>
    <cellStyle name="20% - Accent2 5 2 12 2" xfId="30067"/>
    <cellStyle name="20% - Accent2 5 2 13" xfId="7948"/>
    <cellStyle name="20% - Accent2 5 2 13 2" xfId="30723"/>
    <cellStyle name="20% - Accent2 5 2 14" xfId="8604"/>
    <cellStyle name="20% - Accent2 5 2 14 2" xfId="31379"/>
    <cellStyle name="20% - Accent2 5 2 15" xfId="9260"/>
    <cellStyle name="20% - Accent2 5 2 15 2" xfId="32035"/>
    <cellStyle name="20% - Accent2 5 2 16" xfId="9916"/>
    <cellStyle name="20% - Accent2 5 2 16 2" xfId="32691"/>
    <cellStyle name="20% - Accent2 5 2 17" xfId="10572"/>
    <cellStyle name="20% - Accent2 5 2 17 2" xfId="33347"/>
    <cellStyle name="20% - Accent2 5 2 18" xfId="11228"/>
    <cellStyle name="20% - Accent2 5 2 18 2" xfId="34003"/>
    <cellStyle name="20% - Accent2 5 2 19" xfId="11884"/>
    <cellStyle name="20% - Accent2 5 2 19 2" xfId="34659"/>
    <cellStyle name="20% - Accent2 5 2 2" xfId="588"/>
    <cellStyle name="20% - Accent2 5 2 2 10" xfId="6821"/>
    <cellStyle name="20% - Accent2 5 2 2 10 2" xfId="29596"/>
    <cellStyle name="20% - Accent2 5 2 2 11" xfId="7477"/>
    <cellStyle name="20% - Accent2 5 2 2 11 2" xfId="30252"/>
    <cellStyle name="20% - Accent2 5 2 2 12" xfId="8133"/>
    <cellStyle name="20% - Accent2 5 2 2 12 2" xfId="30908"/>
    <cellStyle name="20% - Accent2 5 2 2 13" xfId="8789"/>
    <cellStyle name="20% - Accent2 5 2 2 13 2" xfId="31564"/>
    <cellStyle name="20% - Accent2 5 2 2 14" xfId="9445"/>
    <cellStyle name="20% - Accent2 5 2 2 14 2" xfId="32220"/>
    <cellStyle name="20% - Accent2 5 2 2 15" xfId="10101"/>
    <cellStyle name="20% - Accent2 5 2 2 15 2" xfId="32876"/>
    <cellStyle name="20% - Accent2 5 2 2 16" xfId="10757"/>
    <cellStyle name="20% - Accent2 5 2 2 16 2" xfId="33532"/>
    <cellStyle name="20% - Accent2 5 2 2 17" xfId="11413"/>
    <cellStyle name="20% - Accent2 5 2 2 17 2" xfId="34188"/>
    <cellStyle name="20% - Accent2 5 2 2 18" xfId="12069"/>
    <cellStyle name="20% - Accent2 5 2 2 18 2" xfId="34844"/>
    <cellStyle name="20% - Accent2 5 2 2 19" xfId="12725"/>
    <cellStyle name="20% - Accent2 5 2 2 19 2" xfId="35500"/>
    <cellStyle name="20% - Accent2 5 2 2 2" xfId="917"/>
    <cellStyle name="20% - Accent2 5 2 2 2 10" xfId="8461"/>
    <cellStyle name="20% - Accent2 5 2 2 2 10 2" xfId="31236"/>
    <cellStyle name="20% - Accent2 5 2 2 2 11" xfId="9117"/>
    <cellStyle name="20% - Accent2 5 2 2 2 11 2" xfId="31892"/>
    <cellStyle name="20% - Accent2 5 2 2 2 12" xfId="9773"/>
    <cellStyle name="20% - Accent2 5 2 2 2 12 2" xfId="32548"/>
    <cellStyle name="20% - Accent2 5 2 2 2 13" xfId="10429"/>
    <cellStyle name="20% - Accent2 5 2 2 2 13 2" xfId="33204"/>
    <cellStyle name="20% - Accent2 5 2 2 2 14" xfId="11085"/>
    <cellStyle name="20% - Accent2 5 2 2 2 14 2" xfId="33860"/>
    <cellStyle name="20% - Accent2 5 2 2 2 15" xfId="11741"/>
    <cellStyle name="20% - Accent2 5 2 2 2 15 2" xfId="34516"/>
    <cellStyle name="20% - Accent2 5 2 2 2 16" xfId="12397"/>
    <cellStyle name="20% - Accent2 5 2 2 2 16 2" xfId="35172"/>
    <cellStyle name="20% - Accent2 5 2 2 2 17" xfId="13053"/>
    <cellStyle name="20% - Accent2 5 2 2 2 17 2" xfId="35828"/>
    <cellStyle name="20% - Accent2 5 2 2 2 18" xfId="13709"/>
    <cellStyle name="20% - Accent2 5 2 2 2 18 2" xfId="36484"/>
    <cellStyle name="20% - Accent2 5 2 2 2 19" xfId="14365"/>
    <cellStyle name="20% - Accent2 5 2 2 2 19 2" xfId="37140"/>
    <cellStyle name="20% - Accent2 5 2 2 2 2" xfId="1573"/>
    <cellStyle name="20% - Accent2 5 2 2 2 2 2" xfId="3869"/>
    <cellStyle name="20% - Accent2 5 2 2 2 2 2 2" xfId="26644"/>
    <cellStyle name="20% - Accent2 5 2 2 2 2 3" xfId="24348"/>
    <cellStyle name="20% - Accent2 5 2 2 2 20" xfId="15021"/>
    <cellStyle name="20% - Accent2 5 2 2 2 20 2" xfId="37796"/>
    <cellStyle name="20% - Accent2 5 2 2 2 21" xfId="15677"/>
    <cellStyle name="20% - Accent2 5 2 2 2 21 2" xfId="38452"/>
    <cellStyle name="20% - Accent2 5 2 2 2 22" xfId="16333"/>
    <cellStyle name="20% - Accent2 5 2 2 2 22 2" xfId="39108"/>
    <cellStyle name="20% - Accent2 5 2 2 2 23" xfId="16989"/>
    <cellStyle name="20% - Accent2 5 2 2 2 23 2" xfId="39764"/>
    <cellStyle name="20% - Accent2 5 2 2 2 24" xfId="17645"/>
    <cellStyle name="20% - Accent2 5 2 2 2 24 2" xfId="40420"/>
    <cellStyle name="20% - Accent2 5 2 2 2 25" xfId="18301"/>
    <cellStyle name="20% - Accent2 5 2 2 2 25 2" xfId="41076"/>
    <cellStyle name="20% - Accent2 5 2 2 2 26" xfId="18957"/>
    <cellStyle name="20% - Accent2 5 2 2 2 26 2" xfId="41732"/>
    <cellStyle name="20% - Accent2 5 2 2 2 27" xfId="19613"/>
    <cellStyle name="20% - Accent2 5 2 2 2 27 2" xfId="42388"/>
    <cellStyle name="20% - Accent2 5 2 2 2 28" xfId="20269"/>
    <cellStyle name="20% - Accent2 5 2 2 2 28 2" xfId="43044"/>
    <cellStyle name="20% - Accent2 5 2 2 2 29" xfId="20925"/>
    <cellStyle name="20% - Accent2 5 2 2 2 29 2" xfId="43700"/>
    <cellStyle name="20% - Accent2 5 2 2 2 3" xfId="2229"/>
    <cellStyle name="20% - Accent2 5 2 2 2 3 2" xfId="4525"/>
    <cellStyle name="20% - Accent2 5 2 2 2 3 2 2" xfId="27300"/>
    <cellStyle name="20% - Accent2 5 2 2 2 3 3" xfId="25004"/>
    <cellStyle name="20% - Accent2 5 2 2 2 30" xfId="21581"/>
    <cellStyle name="20% - Accent2 5 2 2 2 30 2" xfId="44356"/>
    <cellStyle name="20% - Accent2 5 2 2 2 31" xfId="22237"/>
    <cellStyle name="20% - Accent2 5 2 2 2 31 2" xfId="45012"/>
    <cellStyle name="20% - Accent2 5 2 2 2 32" xfId="22893"/>
    <cellStyle name="20% - Accent2 5 2 2 2 32 2" xfId="45668"/>
    <cellStyle name="20% - Accent2 5 2 2 2 33" xfId="23692"/>
    <cellStyle name="20% - Accent2 5 2 2 2 4" xfId="5181"/>
    <cellStyle name="20% - Accent2 5 2 2 2 4 2" xfId="27956"/>
    <cellStyle name="20% - Accent2 5 2 2 2 5" xfId="5837"/>
    <cellStyle name="20% - Accent2 5 2 2 2 5 2" xfId="28612"/>
    <cellStyle name="20% - Accent2 5 2 2 2 6" xfId="6493"/>
    <cellStyle name="20% - Accent2 5 2 2 2 6 2" xfId="29268"/>
    <cellStyle name="20% - Accent2 5 2 2 2 7" xfId="3213"/>
    <cellStyle name="20% - Accent2 5 2 2 2 7 2" xfId="25988"/>
    <cellStyle name="20% - Accent2 5 2 2 2 8" xfId="7149"/>
    <cellStyle name="20% - Accent2 5 2 2 2 8 2" xfId="29924"/>
    <cellStyle name="20% - Accent2 5 2 2 2 9" xfId="7805"/>
    <cellStyle name="20% - Accent2 5 2 2 2 9 2" xfId="30580"/>
    <cellStyle name="20% - Accent2 5 2 2 20" xfId="13381"/>
    <cellStyle name="20% - Accent2 5 2 2 20 2" xfId="36156"/>
    <cellStyle name="20% - Accent2 5 2 2 21" xfId="14037"/>
    <cellStyle name="20% - Accent2 5 2 2 21 2" xfId="36812"/>
    <cellStyle name="20% - Accent2 5 2 2 22" xfId="14693"/>
    <cellStyle name="20% - Accent2 5 2 2 22 2" xfId="37468"/>
    <cellStyle name="20% - Accent2 5 2 2 23" xfId="15349"/>
    <cellStyle name="20% - Accent2 5 2 2 23 2" xfId="38124"/>
    <cellStyle name="20% - Accent2 5 2 2 24" xfId="16005"/>
    <cellStyle name="20% - Accent2 5 2 2 24 2" xfId="38780"/>
    <cellStyle name="20% - Accent2 5 2 2 25" xfId="16661"/>
    <cellStyle name="20% - Accent2 5 2 2 25 2" xfId="39436"/>
    <cellStyle name="20% - Accent2 5 2 2 26" xfId="17317"/>
    <cellStyle name="20% - Accent2 5 2 2 26 2" xfId="40092"/>
    <cellStyle name="20% - Accent2 5 2 2 27" xfId="17973"/>
    <cellStyle name="20% - Accent2 5 2 2 27 2" xfId="40748"/>
    <cellStyle name="20% - Accent2 5 2 2 28" xfId="18629"/>
    <cellStyle name="20% - Accent2 5 2 2 28 2" xfId="41404"/>
    <cellStyle name="20% - Accent2 5 2 2 29" xfId="19285"/>
    <cellStyle name="20% - Accent2 5 2 2 29 2" xfId="42060"/>
    <cellStyle name="20% - Accent2 5 2 2 3" xfId="1245"/>
    <cellStyle name="20% - Accent2 5 2 2 3 2" xfId="2885"/>
    <cellStyle name="20% - Accent2 5 2 2 3 2 2" xfId="25660"/>
    <cellStyle name="20% - Accent2 5 2 2 3 3" xfId="24020"/>
    <cellStyle name="20% - Accent2 5 2 2 30" xfId="19941"/>
    <cellStyle name="20% - Accent2 5 2 2 30 2" xfId="42716"/>
    <cellStyle name="20% - Accent2 5 2 2 31" xfId="20597"/>
    <cellStyle name="20% - Accent2 5 2 2 31 2" xfId="43372"/>
    <cellStyle name="20% - Accent2 5 2 2 32" xfId="21253"/>
    <cellStyle name="20% - Accent2 5 2 2 32 2" xfId="44028"/>
    <cellStyle name="20% - Accent2 5 2 2 33" xfId="21909"/>
    <cellStyle name="20% - Accent2 5 2 2 33 2" xfId="44684"/>
    <cellStyle name="20% - Accent2 5 2 2 34" xfId="22565"/>
    <cellStyle name="20% - Accent2 5 2 2 34 2" xfId="45340"/>
    <cellStyle name="20% - Accent2 5 2 2 35" xfId="23364"/>
    <cellStyle name="20% - Accent2 5 2 2 4" xfId="1901"/>
    <cellStyle name="20% - Accent2 5 2 2 4 2" xfId="3541"/>
    <cellStyle name="20% - Accent2 5 2 2 4 2 2" xfId="26316"/>
    <cellStyle name="20% - Accent2 5 2 2 4 3" xfId="24676"/>
    <cellStyle name="20% - Accent2 5 2 2 5" xfId="4197"/>
    <cellStyle name="20% - Accent2 5 2 2 5 2" xfId="26972"/>
    <cellStyle name="20% - Accent2 5 2 2 6" xfId="4853"/>
    <cellStyle name="20% - Accent2 5 2 2 6 2" xfId="27628"/>
    <cellStyle name="20% - Accent2 5 2 2 7" xfId="5509"/>
    <cellStyle name="20% - Accent2 5 2 2 7 2" xfId="28284"/>
    <cellStyle name="20% - Accent2 5 2 2 8" xfId="6165"/>
    <cellStyle name="20% - Accent2 5 2 2 8 2" xfId="28940"/>
    <cellStyle name="20% - Accent2 5 2 2 9" xfId="2557"/>
    <cellStyle name="20% - Accent2 5 2 2 9 2" xfId="25332"/>
    <cellStyle name="20% - Accent2 5 2 20" xfId="12540"/>
    <cellStyle name="20% - Accent2 5 2 20 2" xfId="35315"/>
    <cellStyle name="20% - Accent2 5 2 21" xfId="13196"/>
    <cellStyle name="20% - Accent2 5 2 21 2" xfId="35971"/>
    <cellStyle name="20% - Accent2 5 2 22" xfId="13852"/>
    <cellStyle name="20% - Accent2 5 2 22 2" xfId="36627"/>
    <cellStyle name="20% - Accent2 5 2 23" xfId="14508"/>
    <cellStyle name="20% - Accent2 5 2 23 2" xfId="37283"/>
    <cellStyle name="20% - Accent2 5 2 24" xfId="15164"/>
    <cellStyle name="20% - Accent2 5 2 24 2" xfId="37939"/>
    <cellStyle name="20% - Accent2 5 2 25" xfId="15820"/>
    <cellStyle name="20% - Accent2 5 2 25 2" xfId="38595"/>
    <cellStyle name="20% - Accent2 5 2 26" xfId="16476"/>
    <cellStyle name="20% - Accent2 5 2 26 2" xfId="39251"/>
    <cellStyle name="20% - Accent2 5 2 27" xfId="17132"/>
    <cellStyle name="20% - Accent2 5 2 27 2" xfId="39907"/>
    <cellStyle name="20% - Accent2 5 2 28" xfId="17788"/>
    <cellStyle name="20% - Accent2 5 2 28 2" xfId="40563"/>
    <cellStyle name="20% - Accent2 5 2 29" xfId="18444"/>
    <cellStyle name="20% - Accent2 5 2 29 2" xfId="41219"/>
    <cellStyle name="20% - Accent2 5 2 3" xfId="732"/>
    <cellStyle name="20% - Accent2 5 2 3 10" xfId="8276"/>
    <cellStyle name="20% - Accent2 5 2 3 10 2" xfId="31051"/>
    <cellStyle name="20% - Accent2 5 2 3 11" xfId="8932"/>
    <cellStyle name="20% - Accent2 5 2 3 11 2" xfId="31707"/>
    <cellStyle name="20% - Accent2 5 2 3 12" xfId="9588"/>
    <cellStyle name="20% - Accent2 5 2 3 12 2" xfId="32363"/>
    <cellStyle name="20% - Accent2 5 2 3 13" xfId="10244"/>
    <cellStyle name="20% - Accent2 5 2 3 13 2" xfId="33019"/>
    <cellStyle name="20% - Accent2 5 2 3 14" xfId="10900"/>
    <cellStyle name="20% - Accent2 5 2 3 14 2" xfId="33675"/>
    <cellStyle name="20% - Accent2 5 2 3 15" xfId="11556"/>
    <cellStyle name="20% - Accent2 5 2 3 15 2" xfId="34331"/>
    <cellStyle name="20% - Accent2 5 2 3 16" xfId="12212"/>
    <cellStyle name="20% - Accent2 5 2 3 16 2" xfId="34987"/>
    <cellStyle name="20% - Accent2 5 2 3 17" xfId="12868"/>
    <cellStyle name="20% - Accent2 5 2 3 17 2" xfId="35643"/>
    <cellStyle name="20% - Accent2 5 2 3 18" xfId="13524"/>
    <cellStyle name="20% - Accent2 5 2 3 18 2" xfId="36299"/>
    <cellStyle name="20% - Accent2 5 2 3 19" xfId="14180"/>
    <cellStyle name="20% - Accent2 5 2 3 19 2" xfId="36955"/>
    <cellStyle name="20% - Accent2 5 2 3 2" xfId="1388"/>
    <cellStyle name="20% - Accent2 5 2 3 2 2" xfId="3684"/>
    <cellStyle name="20% - Accent2 5 2 3 2 2 2" xfId="26459"/>
    <cellStyle name="20% - Accent2 5 2 3 2 3" xfId="24163"/>
    <cellStyle name="20% - Accent2 5 2 3 20" xfId="14836"/>
    <cellStyle name="20% - Accent2 5 2 3 20 2" xfId="37611"/>
    <cellStyle name="20% - Accent2 5 2 3 21" xfId="15492"/>
    <cellStyle name="20% - Accent2 5 2 3 21 2" xfId="38267"/>
    <cellStyle name="20% - Accent2 5 2 3 22" xfId="16148"/>
    <cellStyle name="20% - Accent2 5 2 3 22 2" xfId="38923"/>
    <cellStyle name="20% - Accent2 5 2 3 23" xfId="16804"/>
    <cellStyle name="20% - Accent2 5 2 3 23 2" xfId="39579"/>
    <cellStyle name="20% - Accent2 5 2 3 24" xfId="17460"/>
    <cellStyle name="20% - Accent2 5 2 3 24 2" xfId="40235"/>
    <cellStyle name="20% - Accent2 5 2 3 25" xfId="18116"/>
    <cellStyle name="20% - Accent2 5 2 3 25 2" xfId="40891"/>
    <cellStyle name="20% - Accent2 5 2 3 26" xfId="18772"/>
    <cellStyle name="20% - Accent2 5 2 3 26 2" xfId="41547"/>
    <cellStyle name="20% - Accent2 5 2 3 27" xfId="19428"/>
    <cellStyle name="20% - Accent2 5 2 3 27 2" xfId="42203"/>
    <cellStyle name="20% - Accent2 5 2 3 28" xfId="20084"/>
    <cellStyle name="20% - Accent2 5 2 3 28 2" xfId="42859"/>
    <cellStyle name="20% - Accent2 5 2 3 29" xfId="20740"/>
    <cellStyle name="20% - Accent2 5 2 3 29 2" xfId="43515"/>
    <cellStyle name="20% - Accent2 5 2 3 3" xfId="2044"/>
    <cellStyle name="20% - Accent2 5 2 3 3 2" xfId="4340"/>
    <cellStyle name="20% - Accent2 5 2 3 3 2 2" xfId="27115"/>
    <cellStyle name="20% - Accent2 5 2 3 3 3" xfId="24819"/>
    <cellStyle name="20% - Accent2 5 2 3 30" xfId="21396"/>
    <cellStyle name="20% - Accent2 5 2 3 30 2" xfId="44171"/>
    <cellStyle name="20% - Accent2 5 2 3 31" xfId="22052"/>
    <cellStyle name="20% - Accent2 5 2 3 31 2" xfId="44827"/>
    <cellStyle name="20% - Accent2 5 2 3 32" xfId="22708"/>
    <cellStyle name="20% - Accent2 5 2 3 32 2" xfId="45483"/>
    <cellStyle name="20% - Accent2 5 2 3 33" xfId="23507"/>
    <cellStyle name="20% - Accent2 5 2 3 4" xfId="4996"/>
    <cellStyle name="20% - Accent2 5 2 3 4 2" xfId="27771"/>
    <cellStyle name="20% - Accent2 5 2 3 5" xfId="5652"/>
    <cellStyle name="20% - Accent2 5 2 3 5 2" xfId="28427"/>
    <cellStyle name="20% - Accent2 5 2 3 6" xfId="6308"/>
    <cellStyle name="20% - Accent2 5 2 3 6 2" xfId="29083"/>
    <cellStyle name="20% - Accent2 5 2 3 7" xfId="3028"/>
    <cellStyle name="20% - Accent2 5 2 3 7 2" xfId="25803"/>
    <cellStyle name="20% - Accent2 5 2 3 8" xfId="6964"/>
    <cellStyle name="20% - Accent2 5 2 3 8 2" xfId="29739"/>
    <cellStyle name="20% - Accent2 5 2 3 9" xfId="7620"/>
    <cellStyle name="20% - Accent2 5 2 3 9 2" xfId="30395"/>
    <cellStyle name="20% - Accent2 5 2 30" xfId="19100"/>
    <cellStyle name="20% - Accent2 5 2 30 2" xfId="41875"/>
    <cellStyle name="20% - Accent2 5 2 31" xfId="19756"/>
    <cellStyle name="20% - Accent2 5 2 31 2" xfId="42531"/>
    <cellStyle name="20% - Accent2 5 2 32" xfId="20412"/>
    <cellStyle name="20% - Accent2 5 2 32 2" xfId="43187"/>
    <cellStyle name="20% - Accent2 5 2 33" xfId="21068"/>
    <cellStyle name="20% - Accent2 5 2 33 2" xfId="43843"/>
    <cellStyle name="20% - Accent2 5 2 34" xfId="21724"/>
    <cellStyle name="20% - Accent2 5 2 34 2" xfId="44499"/>
    <cellStyle name="20% - Accent2 5 2 35" xfId="22380"/>
    <cellStyle name="20% - Accent2 5 2 35 2" xfId="45155"/>
    <cellStyle name="20% - Accent2 5 2 36" xfId="23036"/>
    <cellStyle name="20% - Accent2 5 2 4" xfId="405"/>
    <cellStyle name="20% - Accent2 5 2 4 2" xfId="2700"/>
    <cellStyle name="20% - Accent2 5 2 4 2 2" xfId="25475"/>
    <cellStyle name="20% - Accent2 5 2 4 3" xfId="23179"/>
    <cellStyle name="20% - Accent2 5 2 5" xfId="1060"/>
    <cellStyle name="20% - Accent2 5 2 5 2" xfId="3356"/>
    <cellStyle name="20% - Accent2 5 2 5 2 2" xfId="26131"/>
    <cellStyle name="20% - Accent2 5 2 5 3" xfId="23835"/>
    <cellStyle name="20% - Accent2 5 2 6" xfId="1716"/>
    <cellStyle name="20% - Accent2 5 2 6 2" xfId="4012"/>
    <cellStyle name="20% - Accent2 5 2 6 2 2" xfId="26787"/>
    <cellStyle name="20% - Accent2 5 2 6 3" xfId="24491"/>
    <cellStyle name="20% - Accent2 5 2 7" xfId="4668"/>
    <cellStyle name="20% - Accent2 5 2 7 2" xfId="27443"/>
    <cellStyle name="20% - Accent2 5 2 8" xfId="5324"/>
    <cellStyle name="20% - Accent2 5 2 8 2" xfId="28099"/>
    <cellStyle name="20% - Accent2 5 2 9" xfId="5980"/>
    <cellStyle name="20% - Accent2 5 2 9 2" xfId="28755"/>
    <cellStyle name="20% - Accent2 5 20" xfId="11813"/>
    <cellStyle name="20% - Accent2 5 20 2" xfId="34588"/>
    <cellStyle name="20% - Accent2 5 21" xfId="12469"/>
    <cellStyle name="20% - Accent2 5 21 2" xfId="35244"/>
    <cellStyle name="20% - Accent2 5 22" xfId="13125"/>
    <cellStyle name="20% - Accent2 5 22 2" xfId="35900"/>
    <cellStyle name="20% - Accent2 5 23" xfId="13781"/>
    <cellStyle name="20% - Accent2 5 23 2" xfId="36556"/>
    <cellStyle name="20% - Accent2 5 24" xfId="14437"/>
    <cellStyle name="20% - Accent2 5 24 2" xfId="37212"/>
    <cellStyle name="20% - Accent2 5 25" xfId="15093"/>
    <cellStyle name="20% - Accent2 5 25 2" xfId="37868"/>
    <cellStyle name="20% - Accent2 5 26" xfId="15749"/>
    <cellStyle name="20% - Accent2 5 26 2" xfId="38524"/>
    <cellStyle name="20% - Accent2 5 27" xfId="16405"/>
    <cellStyle name="20% - Accent2 5 27 2" xfId="39180"/>
    <cellStyle name="20% - Accent2 5 28" xfId="17061"/>
    <cellStyle name="20% - Accent2 5 28 2" xfId="39836"/>
    <cellStyle name="20% - Accent2 5 29" xfId="17717"/>
    <cellStyle name="20% - Accent2 5 29 2" xfId="40492"/>
    <cellStyle name="20% - Accent2 5 3" xfId="518"/>
    <cellStyle name="20% - Accent2 5 3 10" xfId="6750"/>
    <cellStyle name="20% - Accent2 5 3 10 2" xfId="29525"/>
    <cellStyle name="20% - Accent2 5 3 11" xfId="7406"/>
    <cellStyle name="20% - Accent2 5 3 11 2" xfId="30181"/>
    <cellStyle name="20% - Accent2 5 3 12" xfId="8062"/>
    <cellStyle name="20% - Accent2 5 3 12 2" xfId="30837"/>
    <cellStyle name="20% - Accent2 5 3 13" xfId="8718"/>
    <cellStyle name="20% - Accent2 5 3 13 2" xfId="31493"/>
    <cellStyle name="20% - Accent2 5 3 14" xfId="9374"/>
    <cellStyle name="20% - Accent2 5 3 14 2" xfId="32149"/>
    <cellStyle name="20% - Accent2 5 3 15" xfId="10030"/>
    <cellStyle name="20% - Accent2 5 3 15 2" xfId="32805"/>
    <cellStyle name="20% - Accent2 5 3 16" xfId="10686"/>
    <cellStyle name="20% - Accent2 5 3 16 2" xfId="33461"/>
    <cellStyle name="20% - Accent2 5 3 17" xfId="11342"/>
    <cellStyle name="20% - Accent2 5 3 17 2" xfId="34117"/>
    <cellStyle name="20% - Accent2 5 3 18" xfId="11998"/>
    <cellStyle name="20% - Accent2 5 3 18 2" xfId="34773"/>
    <cellStyle name="20% - Accent2 5 3 19" xfId="12654"/>
    <cellStyle name="20% - Accent2 5 3 19 2" xfId="35429"/>
    <cellStyle name="20% - Accent2 5 3 2" xfId="846"/>
    <cellStyle name="20% - Accent2 5 3 2 10" xfId="8390"/>
    <cellStyle name="20% - Accent2 5 3 2 10 2" xfId="31165"/>
    <cellStyle name="20% - Accent2 5 3 2 11" xfId="9046"/>
    <cellStyle name="20% - Accent2 5 3 2 11 2" xfId="31821"/>
    <cellStyle name="20% - Accent2 5 3 2 12" xfId="9702"/>
    <cellStyle name="20% - Accent2 5 3 2 12 2" xfId="32477"/>
    <cellStyle name="20% - Accent2 5 3 2 13" xfId="10358"/>
    <cellStyle name="20% - Accent2 5 3 2 13 2" xfId="33133"/>
    <cellStyle name="20% - Accent2 5 3 2 14" xfId="11014"/>
    <cellStyle name="20% - Accent2 5 3 2 14 2" xfId="33789"/>
    <cellStyle name="20% - Accent2 5 3 2 15" xfId="11670"/>
    <cellStyle name="20% - Accent2 5 3 2 15 2" xfId="34445"/>
    <cellStyle name="20% - Accent2 5 3 2 16" xfId="12326"/>
    <cellStyle name="20% - Accent2 5 3 2 16 2" xfId="35101"/>
    <cellStyle name="20% - Accent2 5 3 2 17" xfId="12982"/>
    <cellStyle name="20% - Accent2 5 3 2 17 2" xfId="35757"/>
    <cellStyle name="20% - Accent2 5 3 2 18" xfId="13638"/>
    <cellStyle name="20% - Accent2 5 3 2 18 2" xfId="36413"/>
    <cellStyle name="20% - Accent2 5 3 2 19" xfId="14294"/>
    <cellStyle name="20% - Accent2 5 3 2 19 2" xfId="37069"/>
    <cellStyle name="20% - Accent2 5 3 2 2" xfId="1502"/>
    <cellStyle name="20% - Accent2 5 3 2 2 2" xfId="3798"/>
    <cellStyle name="20% - Accent2 5 3 2 2 2 2" xfId="26573"/>
    <cellStyle name="20% - Accent2 5 3 2 2 3" xfId="24277"/>
    <cellStyle name="20% - Accent2 5 3 2 20" xfId="14950"/>
    <cellStyle name="20% - Accent2 5 3 2 20 2" xfId="37725"/>
    <cellStyle name="20% - Accent2 5 3 2 21" xfId="15606"/>
    <cellStyle name="20% - Accent2 5 3 2 21 2" xfId="38381"/>
    <cellStyle name="20% - Accent2 5 3 2 22" xfId="16262"/>
    <cellStyle name="20% - Accent2 5 3 2 22 2" xfId="39037"/>
    <cellStyle name="20% - Accent2 5 3 2 23" xfId="16918"/>
    <cellStyle name="20% - Accent2 5 3 2 23 2" xfId="39693"/>
    <cellStyle name="20% - Accent2 5 3 2 24" xfId="17574"/>
    <cellStyle name="20% - Accent2 5 3 2 24 2" xfId="40349"/>
    <cellStyle name="20% - Accent2 5 3 2 25" xfId="18230"/>
    <cellStyle name="20% - Accent2 5 3 2 25 2" xfId="41005"/>
    <cellStyle name="20% - Accent2 5 3 2 26" xfId="18886"/>
    <cellStyle name="20% - Accent2 5 3 2 26 2" xfId="41661"/>
    <cellStyle name="20% - Accent2 5 3 2 27" xfId="19542"/>
    <cellStyle name="20% - Accent2 5 3 2 27 2" xfId="42317"/>
    <cellStyle name="20% - Accent2 5 3 2 28" xfId="20198"/>
    <cellStyle name="20% - Accent2 5 3 2 28 2" xfId="42973"/>
    <cellStyle name="20% - Accent2 5 3 2 29" xfId="20854"/>
    <cellStyle name="20% - Accent2 5 3 2 29 2" xfId="43629"/>
    <cellStyle name="20% - Accent2 5 3 2 3" xfId="2158"/>
    <cellStyle name="20% - Accent2 5 3 2 3 2" xfId="4454"/>
    <cellStyle name="20% - Accent2 5 3 2 3 2 2" xfId="27229"/>
    <cellStyle name="20% - Accent2 5 3 2 3 3" xfId="24933"/>
    <cellStyle name="20% - Accent2 5 3 2 30" xfId="21510"/>
    <cellStyle name="20% - Accent2 5 3 2 30 2" xfId="44285"/>
    <cellStyle name="20% - Accent2 5 3 2 31" xfId="22166"/>
    <cellStyle name="20% - Accent2 5 3 2 31 2" xfId="44941"/>
    <cellStyle name="20% - Accent2 5 3 2 32" xfId="22822"/>
    <cellStyle name="20% - Accent2 5 3 2 32 2" xfId="45597"/>
    <cellStyle name="20% - Accent2 5 3 2 33" xfId="23621"/>
    <cellStyle name="20% - Accent2 5 3 2 4" xfId="5110"/>
    <cellStyle name="20% - Accent2 5 3 2 4 2" xfId="27885"/>
    <cellStyle name="20% - Accent2 5 3 2 5" xfId="5766"/>
    <cellStyle name="20% - Accent2 5 3 2 5 2" xfId="28541"/>
    <cellStyle name="20% - Accent2 5 3 2 6" xfId="6422"/>
    <cellStyle name="20% - Accent2 5 3 2 6 2" xfId="29197"/>
    <cellStyle name="20% - Accent2 5 3 2 7" xfId="3142"/>
    <cellStyle name="20% - Accent2 5 3 2 7 2" xfId="25917"/>
    <cellStyle name="20% - Accent2 5 3 2 8" xfId="7078"/>
    <cellStyle name="20% - Accent2 5 3 2 8 2" xfId="29853"/>
    <cellStyle name="20% - Accent2 5 3 2 9" xfId="7734"/>
    <cellStyle name="20% - Accent2 5 3 2 9 2" xfId="30509"/>
    <cellStyle name="20% - Accent2 5 3 20" xfId="13310"/>
    <cellStyle name="20% - Accent2 5 3 20 2" xfId="36085"/>
    <cellStyle name="20% - Accent2 5 3 21" xfId="13966"/>
    <cellStyle name="20% - Accent2 5 3 21 2" xfId="36741"/>
    <cellStyle name="20% - Accent2 5 3 22" xfId="14622"/>
    <cellStyle name="20% - Accent2 5 3 22 2" xfId="37397"/>
    <cellStyle name="20% - Accent2 5 3 23" xfId="15278"/>
    <cellStyle name="20% - Accent2 5 3 23 2" xfId="38053"/>
    <cellStyle name="20% - Accent2 5 3 24" xfId="15934"/>
    <cellStyle name="20% - Accent2 5 3 24 2" xfId="38709"/>
    <cellStyle name="20% - Accent2 5 3 25" xfId="16590"/>
    <cellStyle name="20% - Accent2 5 3 25 2" xfId="39365"/>
    <cellStyle name="20% - Accent2 5 3 26" xfId="17246"/>
    <cellStyle name="20% - Accent2 5 3 26 2" xfId="40021"/>
    <cellStyle name="20% - Accent2 5 3 27" xfId="17902"/>
    <cellStyle name="20% - Accent2 5 3 27 2" xfId="40677"/>
    <cellStyle name="20% - Accent2 5 3 28" xfId="18558"/>
    <cellStyle name="20% - Accent2 5 3 28 2" xfId="41333"/>
    <cellStyle name="20% - Accent2 5 3 29" xfId="19214"/>
    <cellStyle name="20% - Accent2 5 3 29 2" xfId="41989"/>
    <cellStyle name="20% - Accent2 5 3 3" xfId="1174"/>
    <cellStyle name="20% - Accent2 5 3 3 2" xfId="2814"/>
    <cellStyle name="20% - Accent2 5 3 3 2 2" xfId="25589"/>
    <cellStyle name="20% - Accent2 5 3 3 3" xfId="23949"/>
    <cellStyle name="20% - Accent2 5 3 30" xfId="19870"/>
    <cellStyle name="20% - Accent2 5 3 30 2" xfId="42645"/>
    <cellStyle name="20% - Accent2 5 3 31" xfId="20526"/>
    <cellStyle name="20% - Accent2 5 3 31 2" xfId="43301"/>
    <cellStyle name="20% - Accent2 5 3 32" xfId="21182"/>
    <cellStyle name="20% - Accent2 5 3 32 2" xfId="43957"/>
    <cellStyle name="20% - Accent2 5 3 33" xfId="21838"/>
    <cellStyle name="20% - Accent2 5 3 33 2" xfId="44613"/>
    <cellStyle name="20% - Accent2 5 3 34" xfId="22494"/>
    <cellStyle name="20% - Accent2 5 3 34 2" xfId="45269"/>
    <cellStyle name="20% - Accent2 5 3 35" xfId="23293"/>
    <cellStyle name="20% - Accent2 5 3 4" xfId="1830"/>
    <cellStyle name="20% - Accent2 5 3 4 2" xfId="3470"/>
    <cellStyle name="20% - Accent2 5 3 4 2 2" xfId="26245"/>
    <cellStyle name="20% - Accent2 5 3 4 3" xfId="24605"/>
    <cellStyle name="20% - Accent2 5 3 5" xfId="4126"/>
    <cellStyle name="20% - Accent2 5 3 5 2" xfId="26901"/>
    <cellStyle name="20% - Accent2 5 3 6" xfId="4782"/>
    <cellStyle name="20% - Accent2 5 3 6 2" xfId="27557"/>
    <cellStyle name="20% - Accent2 5 3 7" xfId="5438"/>
    <cellStyle name="20% - Accent2 5 3 7 2" xfId="28213"/>
    <cellStyle name="20% - Accent2 5 3 8" xfId="6094"/>
    <cellStyle name="20% - Accent2 5 3 8 2" xfId="28869"/>
    <cellStyle name="20% - Accent2 5 3 9" xfId="2486"/>
    <cellStyle name="20% - Accent2 5 3 9 2" xfId="25261"/>
    <cellStyle name="20% - Accent2 5 30" xfId="18373"/>
    <cellStyle name="20% - Accent2 5 30 2" xfId="41148"/>
    <cellStyle name="20% - Accent2 5 31" xfId="19029"/>
    <cellStyle name="20% - Accent2 5 31 2" xfId="41804"/>
    <cellStyle name="20% - Accent2 5 32" xfId="19685"/>
    <cellStyle name="20% - Accent2 5 32 2" xfId="42460"/>
    <cellStyle name="20% - Accent2 5 33" xfId="20341"/>
    <cellStyle name="20% - Accent2 5 33 2" xfId="43116"/>
    <cellStyle name="20% - Accent2 5 34" xfId="20997"/>
    <cellStyle name="20% - Accent2 5 34 2" xfId="43772"/>
    <cellStyle name="20% - Accent2 5 35" xfId="21653"/>
    <cellStyle name="20% - Accent2 5 35 2" xfId="44428"/>
    <cellStyle name="20% - Accent2 5 36" xfId="22309"/>
    <cellStyle name="20% - Accent2 5 36 2" xfId="45084"/>
    <cellStyle name="20% - Accent2 5 37" xfId="248"/>
    <cellStyle name="20% - Accent2 5 38" xfId="22965"/>
    <cellStyle name="20% - Accent2 5 4" xfId="661"/>
    <cellStyle name="20% - Accent2 5 4 10" xfId="8205"/>
    <cellStyle name="20% - Accent2 5 4 10 2" xfId="30980"/>
    <cellStyle name="20% - Accent2 5 4 11" xfId="8861"/>
    <cellStyle name="20% - Accent2 5 4 11 2" xfId="31636"/>
    <cellStyle name="20% - Accent2 5 4 12" xfId="9517"/>
    <cellStyle name="20% - Accent2 5 4 12 2" xfId="32292"/>
    <cellStyle name="20% - Accent2 5 4 13" xfId="10173"/>
    <cellStyle name="20% - Accent2 5 4 13 2" xfId="32948"/>
    <cellStyle name="20% - Accent2 5 4 14" xfId="10829"/>
    <cellStyle name="20% - Accent2 5 4 14 2" xfId="33604"/>
    <cellStyle name="20% - Accent2 5 4 15" xfId="11485"/>
    <cellStyle name="20% - Accent2 5 4 15 2" xfId="34260"/>
    <cellStyle name="20% - Accent2 5 4 16" xfId="12141"/>
    <cellStyle name="20% - Accent2 5 4 16 2" xfId="34916"/>
    <cellStyle name="20% - Accent2 5 4 17" xfId="12797"/>
    <cellStyle name="20% - Accent2 5 4 17 2" xfId="35572"/>
    <cellStyle name="20% - Accent2 5 4 18" xfId="13453"/>
    <cellStyle name="20% - Accent2 5 4 18 2" xfId="36228"/>
    <cellStyle name="20% - Accent2 5 4 19" xfId="14109"/>
    <cellStyle name="20% - Accent2 5 4 19 2" xfId="36884"/>
    <cellStyle name="20% - Accent2 5 4 2" xfId="1317"/>
    <cellStyle name="20% - Accent2 5 4 2 2" xfId="3613"/>
    <cellStyle name="20% - Accent2 5 4 2 2 2" xfId="26388"/>
    <cellStyle name="20% - Accent2 5 4 2 3" xfId="24092"/>
    <cellStyle name="20% - Accent2 5 4 20" xfId="14765"/>
    <cellStyle name="20% - Accent2 5 4 20 2" xfId="37540"/>
    <cellStyle name="20% - Accent2 5 4 21" xfId="15421"/>
    <cellStyle name="20% - Accent2 5 4 21 2" xfId="38196"/>
    <cellStyle name="20% - Accent2 5 4 22" xfId="16077"/>
    <cellStyle name="20% - Accent2 5 4 22 2" xfId="38852"/>
    <cellStyle name="20% - Accent2 5 4 23" xfId="16733"/>
    <cellStyle name="20% - Accent2 5 4 23 2" xfId="39508"/>
    <cellStyle name="20% - Accent2 5 4 24" xfId="17389"/>
    <cellStyle name="20% - Accent2 5 4 24 2" xfId="40164"/>
    <cellStyle name="20% - Accent2 5 4 25" xfId="18045"/>
    <cellStyle name="20% - Accent2 5 4 25 2" xfId="40820"/>
    <cellStyle name="20% - Accent2 5 4 26" xfId="18701"/>
    <cellStyle name="20% - Accent2 5 4 26 2" xfId="41476"/>
    <cellStyle name="20% - Accent2 5 4 27" xfId="19357"/>
    <cellStyle name="20% - Accent2 5 4 27 2" xfId="42132"/>
    <cellStyle name="20% - Accent2 5 4 28" xfId="20013"/>
    <cellStyle name="20% - Accent2 5 4 28 2" xfId="42788"/>
    <cellStyle name="20% - Accent2 5 4 29" xfId="20669"/>
    <cellStyle name="20% - Accent2 5 4 29 2" xfId="43444"/>
    <cellStyle name="20% - Accent2 5 4 3" xfId="1973"/>
    <cellStyle name="20% - Accent2 5 4 3 2" xfId="4269"/>
    <cellStyle name="20% - Accent2 5 4 3 2 2" xfId="27044"/>
    <cellStyle name="20% - Accent2 5 4 3 3" xfId="24748"/>
    <cellStyle name="20% - Accent2 5 4 30" xfId="21325"/>
    <cellStyle name="20% - Accent2 5 4 30 2" xfId="44100"/>
    <cellStyle name="20% - Accent2 5 4 31" xfId="21981"/>
    <cellStyle name="20% - Accent2 5 4 31 2" xfId="44756"/>
    <cellStyle name="20% - Accent2 5 4 32" xfId="22637"/>
    <cellStyle name="20% - Accent2 5 4 32 2" xfId="45412"/>
    <cellStyle name="20% - Accent2 5 4 33" xfId="23436"/>
    <cellStyle name="20% - Accent2 5 4 4" xfId="4925"/>
    <cellStyle name="20% - Accent2 5 4 4 2" xfId="27700"/>
    <cellStyle name="20% - Accent2 5 4 5" xfId="5581"/>
    <cellStyle name="20% - Accent2 5 4 5 2" xfId="28356"/>
    <cellStyle name="20% - Accent2 5 4 6" xfId="6237"/>
    <cellStyle name="20% - Accent2 5 4 6 2" xfId="29012"/>
    <cellStyle name="20% - Accent2 5 4 7" xfId="2957"/>
    <cellStyle name="20% - Accent2 5 4 7 2" xfId="25732"/>
    <cellStyle name="20% - Accent2 5 4 8" xfId="6893"/>
    <cellStyle name="20% - Accent2 5 4 8 2" xfId="29668"/>
    <cellStyle name="20% - Accent2 5 4 9" xfId="7549"/>
    <cellStyle name="20% - Accent2 5 4 9 2" xfId="30324"/>
    <cellStyle name="20% - Accent2 5 5" xfId="334"/>
    <cellStyle name="20% - Accent2 5 5 2" xfId="2629"/>
    <cellStyle name="20% - Accent2 5 5 2 2" xfId="25404"/>
    <cellStyle name="20% - Accent2 5 5 3" xfId="23108"/>
    <cellStyle name="20% - Accent2 5 6" xfId="989"/>
    <cellStyle name="20% - Accent2 5 6 2" xfId="3285"/>
    <cellStyle name="20% - Accent2 5 6 2 2" xfId="26060"/>
    <cellStyle name="20% - Accent2 5 6 3" xfId="23764"/>
    <cellStyle name="20% - Accent2 5 7" xfId="1645"/>
    <cellStyle name="20% - Accent2 5 7 2" xfId="3941"/>
    <cellStyle name="20% - Accent2 5 7 2 2" xfId="26716"/>
    <cellStyle name="20% - Accent2 5 7 3" xfId="24420"/>
    <cellStyle name="20% - Accent2 5 8" xfId="4597"/>
    <cellStyle name="20% - Accent2 5 8 2" xfId="27372"/>
    <cellStyle name="20% - Accent2 5 9" xfId="5253"/>
    <cellStyle name="20% - Accent2 5 9 2" xfId="28028"/>
    <cellStyle name="20% - Accent2 6" xfId="116"/>
    <cellStyle name="20% - Accent2 6 10" xfId="2314"/>
    <cellStyle name="20% - Accent2 6 10 2" xfId="25089"/>
    <cellStyle name="20% - Accent2 6 11" xfId="6578"/>
    <cellStyle name="20% - Accent2 6 11 2" xfId="29353"/>
    <cellStyle name="20% - Accent2 6 12" xfId="7234"/>
    <cellStyle name="20% - Accent2 6 12 2" xfId="30009"/>
    <cellStyle name="20% - Accent2 6 13" xfId="7890"/>
    <cellStyle name="20% - Accent2 6 13 2" xfId="30665"/>
    <cellStyle name="20% - Accent2 6 14" xfId="8546"/>
    <cellStyle name="20% - Accent2 6 14 2" xfId="31321"/>
    <cellStyle name="20% - Accent2 6 15" xfId="9202"/>
    <cellStyle name="20% - Accent2 6 15 2" xfId="31977"/>
    <cellStyle name="20% - Accent2 6 16" xfId="9858"/>
    <cellStyle name="20% - Accent2 6 16 2" xfId="32633"/>
    <cellStyle name="20% - Accent2 6 17" xfId="10514"/>
    <cellStyle name="20% - Accent2 6 17 2" xfId="33289"/>
    <cellStyle name="20% - Accent2 6 18" xfId="11170"/>
    <cellStyle name="20% - Accent2 6 18 2" xfId="33945"/>
    <cellStyle name="20% - Accent2 6 19" xfId="11826"/>
    <cellStyle name="20% - Accent2 6 19 2" xfId="34601"/>
    <cellStyle name="20% - Accent2 6 2" xfId="530"/>
    <cellStyle name="20% - Accent2 6 2 10" xfId="6763"/>
    <cellStyle name="20% - Accent2 6 2 10 2" xfId="29538"/>
    <cellStyle name="20% - Accent2 6 2 11" xfId="7419"/>
    <cellStyle name="20% - Accent2 6 2 11 2" xfId="30194"/>
    <cellStyle name="20% - Accent2 6 2 12" xfId="8075"/>
    <cellStyle name="20% - Accent2 6 2 12 2" xfId="30850"/>
    <cellStyle name="20% - Accent2 6 2 13" xfId="8731"/>
    <cellStyle name="20% - Accent2 6 2 13 2" xfId="31506"/>
    <cellStyle name="20% - Accent2 6 2 14" xfId="9387"/>
    <cellStyle name="20% - Accent2 6 2 14 2" xfId="32162"/>
    <cellStyle name="20% - Accent2 6 2 15" xfId="10043"/>
    <cellStyle name="20% - Accent2 6 2 15 2" xfId="32818"/>
    <cellStyle name="20% - Accent2 6 2 16" xfId="10699"/>
    <cellStyle name="20% - Accent2 6 2 16 2" xfId="33474"/>
    <cellStyle name="20% - Accent2 6 2 17" xfId="11355"/>
    <cellStyle name="20% - Accent2 6 2 17 2" xfId="34130"/>
    <cellStyle name="20% - Accent2 6 2 18" xfId="12011"/>
    <cellStyle name="20% - Accent2 6 2 18 2" xfId="34786"/>
    <cellStyle name="20% - Accent2 6 2 19" xfId="12667"/>
    <cellStyle name="20% - Accent2 6 2 19 2" xfId="35442"/>
    <cellStyle name="20% - Accent2 6 2 2" xfId="859"/>
    <cellStyle name="20% - Accent2 6 2 2 10" xfId="8403"/>
    <cellStyle name="20% - Accent2 6 2 2 10 2" xfId="31178"/>
    <cellStyle name="20% - Accent2 6 2 2 11" xfId="9059"/>
    <cellStyle name="20% - Accent2 6 2 2 11 2" xfId="31834"/>
    <cellStyle name="20% - Accent2 6 2 2 12" xfId="9715"/>
    <cellStyle name="20% - Accent2 6 2 2 12 2" xfId="32490"/>
    <cellStyle name="20% - Accent2 6 2 2 13" xfId="10371"/>
    <cellStyle name="20% - Accent2 6 2 2 13 2" xfId="33146"/>
    <cellStyle name="20% - Accent2 6 2 2 14" xfId="11027"/>
    <cellStyle name="20% - Accent2 6 2 2 14 2" xfId="33802"/>
    <cellStyle name="20% - Accent2 6 2 2 15" xfId="11683"/>
    <cellStyle name="20% - Accent2 6 2 2 15 2" xfId="34458"/>
    <cellStyle name="20% - Accent2 6 2 2 16" xfId="12339"/>
    <cellStyle name="20% - Accent2 6 2 2 16 2" xfId="35114"/>
    <cellStyle name="20% - Accent2 6 2 2 17" xfId="12995"/>
    <cellStyle name="20% - Accent2 6 2 2 17 2" xfId="35770"/>
    <cellStyle name="20% - Accent2 6 2 2 18" xfId="13651"/>
    <cellStyle name="20% - Accent2 6 2 2 18 2" xfId="36426"/>
    <cellStyle name="20% - Accent2 6 2 2 19" xfId="14307"/>
    <cellStyle name="20% - Accent2 6 2 2 19 2" xfId="37082"/>
    <cellStyle name="20% - Accent2 6 2 2 2" xfId="1515"/>
    <cellStyle name="20% - Accent2 6 2 2 2 2" xfId="3811"/>
    <cellStyle name="20% - Accent2 6 2 2 2 2 2" xfId="26586"/>
    <cellStyle name="20% - Accent2 6 2 2 2 3" xfId="24290"/>
    <cellStyle name="20% - Accent2 6 2 2 20" xfId="14963"/>
    <cellStyle name="20% - Accent2 6 2 2 20 2" xfId="37738"/>
    <cellStyle name="20% - Accent2 6 2 2 21" xfId="15619"/>
    <cellStyle name="20% - Accent2 6 2 2 21 2" xfId="38394"/>
    <cellStyle name="20% - Accent2 6 2 2 22" xfId="16275"/>
    <cellStyle name="20% - Accent2 6 2 2 22 2" xfId="39050"/>
    <cellStyle name="20% - Accent2 6 2 2 23" xfId="16931"/>
    <cellStyle name="20% - Accent2 6 2 2 23 2" xfId="39706"/>
    <cellStyle name="20% - Accent2 6 2 2 24" xfId="17587"/>
    <cellStyle name="20% - Accent2 6 2 2 24 2" xfId="40362"/>
    <cellStyle name="20% - Accent2 6 2 2 25" xfId="18243"/>
    <cellStyle name="20% - Accent2 6 2 2 25 2" xfId="41018"/>
    <cellStyle name="20% - Accent2 6 2 2 26" xfId="18899"/>
    <cellStyle name="20% - Accent2 6 2 2 26 2" xfId="41674"/>
    <cellStyle name="20% - Accent2 6 2 2 27" xfId="19555"/>
    <cellStyle name="20% - Accent2 6 2 2 27 2" xfId="42330"/>
    <cellStyle name="20% - Accent2 6 2 2 28" xfId="20211"/>
    <cellStyle name="20% - Accent2 6 2 2 28 2" xfId="42986"/>
    <cellStyle name="20% - Accent2 6 2 2 29" xfId="20867"/>
    <cellStyle name="20% - Accent2 6 2 2 29 2" xfId="43642"/>
    <cellStyle name="20% - Accent2 6 2 2 3" xfId="2171"/>
    <cellStyle name="20% - Accent2 6 2 2 3 2" xfId="4467"/>
    <cellStyle name="20% - Accent2 6 2 2 3 2 2" xfId="27242"/>
    <cellStyle name="20% - Accent2 6 2 2 3 3" xfId="24946"/>
    <cellStyle name="20% - Accent2 6 2 2 30" xfId="21523"/>
    <cellStyle name="20% - Accent2 6 2 2 30 2" xfId="44298"/>
    <cellStyle name="20% - Accent2 6 2 2 31" xfId="22179"/>
    <cellStyle name="20% - Accent2 6 2 2 31 2" xfId="44954"/>
    <cellStyle name="20% - Accent2 6 2 2 32" xfId="22835"/>
    <cellStyle name="20% - Accent2 6 2 2 32 2" xfId="45610"/>
    <cellStyle name="20% - Accent2 6 2 2 33" xfId="23634"/>
    <cellStyle name="20% - Accent2 6 2 2 4" xfId="5123"/>
    <cellStyle name="20% - Accent2 6 2 2 4 2" xfId="27898"/>
    <cellStyle name="20% - Accent2 6 2 2 5" xfId="5779"/>
    <cellStyle name="20% - Accent2 6 2 2 5 2" xfId="28554"/>
    <cellStyle name="20% - Accent2 6 2 2 6" xfId="6435"/>
    <cellStyle name="20% - Accent2 6 2 2 6 2" xfId="29210"/>
    <cellStyle name="20% - Accent2 6 2 2 7" xfId="3155"/>
    <cellStyle name="20% - Accent2 6 2 2 7 2" xfId="25930"/>
    <cellStyle name="20% - Accent2 6 2 2 8" xfId="7091"/>
    <cellStyle name="20% - Accent2 6 2 2 8 2" xfId="29866"/>
    <cellStyle name="20% - Accent2 6 2 2 9" xfId="7747"/>
    <cellStyle name="20% - Accent2 6 2 2 9 2" xfId="30522"/>
    <cellStyle name="20% - Accent2 6 2 20" xfId="13323"/>
    <cellStyle name="20% - Accent2 6 2 20 2" xfId="36098"/>
    <cellStyle name="20% - Accent2 6 2 21" xfId="13979"/>
    <cellStyle name="20% - Accent2 6 2 21 2" xfId="36754"/>
    <cellStyle name="20% - Accent2 6 2 22" xfId="14635"/>
    <cellStyle name="20% - Accent2 6 2 22 2" xfId="37410"/>
    <cellStyle name="20% - Accent2 6 2 23" xfId="15291"/>
    <cellStyle name="20% - Accent2 6 2 23 2" xfId="38066"/>
    <cellStyle name="20% - Accent2 6 2 24" xfId="15947"/>
    <cellStyle name="20% - Accent2 6 2 24 2" xfId="38722"/>
    <cellStyle name="20% - Accent2 6 2 25" xfId="16603"/>
    <cellStyle name="20% - Accent2 6 2 25 2" xfId="39378"/>
    <cellStyle name="20% - Accent2 6 2 26" xfId="17259"/>
    <cellStyle name="20% - Accent2 6 2 26 2" xfId="40034"/>
    <cellStyle name="20% - Accent2 6 2 27" xfId="17915"/>
    <cellStyle name="20% - Accent2 6 2 27 2" xfId="40690"/>
    <cellStyle name="20% - Accent2 6 2 28" xfId="18571"/>
    <cellStyle name="20% - Accent2 6 2 28 2" xfId="41346"/>
    <cellStyle name="20% - Accent2 6 2 29" xfId="19227"/>
    <cellStyle name="20% - Accent2 6 2 29 2" xfId="42002"/>
    <cellStyle name="20% - Accent2 6 2 3" xfId="1187"/>
    <cellStyle name="20% - Accent2 6 2 3 2" xfId="2827"/>
    <cellStyle name="20% - Accent2 6 2 3 2 2" xfId="25602"/>
    <cellStyle name="20% - Accent2 6 2 3 3" xfId="23962"/>
    <cellStyle name="20% - Accent2 6 2 30" xfId="19883"/>
    <cellStyle name="20% - Accent2 6 2 30 2" xfId="42658"/>
    <cellStyle name="20% - Accent2 6 2 31" xfId="20539"/>
    <cellStyle name="20% - Accent2 6 2 31 2" xfId="43314"/>
    <cellStyle name="20% - Accent2 6 2 32" xfId="21195"/>
    <cellStyle name="20% - Accent2 6 2 32 2" xfId="43970"/>
    <cellStyle name="20% - Accent2 6 2 33" xfId="21851"/>
    <cellStyle name="20% - Accent2 6 2 33 2" xfId="44626"/>
    <cellStyle name="20% - Accent2 6 2 34" xfId="22507"/>
    <cellStyle name="20% - Accent2 6 2 34 2" xfId="45282"/>
    <cellStyle name="20% - Accent2 6 2 35" xfId="23306"/>
    <cellStyle name="20% - Accent2 6 2 4" xfId="1843"/>
    <cellStyle name="20% - Accent2 6 2 4 2" xfId="3483"/>
    <cellStyle name="20% - Accent2 6 2 4 2 2" xfId="26258"/>
    <cellStyle name="20% - Accent2 6 2 4 3" xfId="24618"/>
    <cellStyle name="20% - Accent2 6 2 5" xfId="4139"/>
    <cellStyle name="20% - Accent2 6 2 5 2" xfId="26914"/>
    <cellStyle name="20% - Accent2 6 2 6" xfId="4795"/>
    <cellStyle name="20% - Accent2 6 2 6 2" xfId="27570"/>
    <cellStyle name="20% - Accent2 6 2 7" xfId="5451"/>
    <cellStyle name="20% - Accent2 6 2 7 2" xfId="28226"/>
    <cellStyle name="20% - Accent2 6 2 8" xfId="6107"/>
    <cellStyle name="20% - Accent2 6 2 8 2" xfId="28882"/>
    <cellStyle name="20% - Accent2 6 2 9" xfId="2499"/>
    <cellStyle name="20% - Accent2 6 2 9 2" xfId="25274"/>
    <cellStyle name="20% - Accent2 6 20" xfId="12482"/>
    <cellStyle name="20% - Accent2 6 20 2" xfId="35257"/>
    <cellStyle name="20% - Accent2 6 21" xfId="13138"/>
    <cellStyle name="20% - Accent2 6 21 2" xfId="35913"/>
    <cellStyle name="20% - Accent2 6 22" xfId="13794"/>
    <cellStyle name="20% - Accent2 6 22 2" xfId="36569"/>
    <cellStyle name="20% - Accent2 6 23" xfId="14450"/>
    <cellStyle name="20% - Accent2 6 23 2" xfId="37225"/>
    <cellStyle name="20% - Accent2 6 24" xfId="15106"/>
    <cellStyle name="20% - Accent2 6 24 2" xfId="37881"/>
    <cellStyle name="20% - Accent2 6 25" xfId="15762"/>
    <cellStyle name="20% - Accent2 6 25 2" xfId="38537"/>
    <cellStyle name="20% - Accent2 6 26" xfId="16418"/>
    <cellStyle name="20% - Accent2 6 26 2" xfId="39193"/>
    <cellStyle name="20% - Accent2 6 27" xfId="17074"/>
    <cellStyle name="20% - Accent2 6 27 2" xfId="39849"/>
    <cellStyle name="20% - Accent2 6 28" xfId="17730"/>
    <cellStyle name="20% - Accent2 6 28 2" xfId="40505"/>
    <cellStyle name="20% - Accent2 6 29" xfId="18386"/>
    <cellStyle name="20% - Accent2 6 29 2" xfId="41161"/>
    <cellStyle name="20% - Accent2 6 3" xfId="674"/>
    <cellStyle name="20% - Accent2 6 3 10" xfId="8218"/>
    <cellStyle name="20% - Accent2 6 3 10 2" xfId="30993"/>
    <cellStyle name="20% - Accent2 6 3 11" xfId="8874"/>
    <cellStyle name="20% - Accent2 6 3 11 2" xfId="31649"/>
    <cellStyle name="20% - Accent2 6 3 12" xfId="9530"/>
    <cellStyle name="20% - Accent2 6 3 12 2" xfId="32305"/>
    <cellStyle name="20% - Accent2 6 3 13" xfId="10186"/>
    <cellStyle name="20% - Accent2 6 3 13 2" xfId="32961"/>
    <cellStyle name="20% - Accent2 6 3 14" xfId="10842"/>
    <cellStyle name="20% - Accent2 6 3 14 2" xfId="33617"/>
    <cellStyle name="20% - Accent2 6 3 15" xfId="11498"/>
    <cellStyle name="20% - Accent2 6 3 15 2" xfId="34273"/>
    <cellStyle name="20% - Accent2 6 3 16" xfId="12154"/>
    <cellStyle name="20% - Accent2 6 3 16 2" xfId="34929"/>
    <cellStyle name="20% - Accent2 6 3 17" xfId="12810"/>
    <cellStyle name="20% - Accent2 6 3 17 2" xfId="35585"/>
    <cellStyle name="20% - Accent2 6 3 18" xfId="13466"/>
    <cellStyle name="20% - Accent2 6 3 18 2" xfId="36241"/>
    <cellStyle name="20% - Accent2 6 3 19" xfId="14122"/>
    <cellStyle name="20% - Accent2 6 3 19 2" xfId="36897"/>
    <cellStyle name="20% - Accent2 6 3 2" xfId="1330"/>
    <cellStyle name="20% - Accent2 6 3 2 2" xfId="3626"/>
    <cellStyle name="20% - Accent2 6 3 2 2 2" xfId="26401"/>
    <cellStyle name="20% - Accent2 6 3 2 3" xfId="24105"/>
    <cellStyle name="20% - Accent2 6 3 20" xfId="14778"/>
    <cellStyle name="20% - Accent2 6 3 20 2" xfId="37553"/>
    <cellStyle name="20% - Accent2 6 3 21" xfId="15434"/>
    <cellStyle name="20% - Accent2 6 3 21 2" xfId="38209"/>
    <cellStyle name="20% - Accent2 6 3 22" xfId="16090"/>
    <cellStyle name="20% - Accent2 6 3 22 2" xfId="38865"/>
    <cellStyle name="20% - Accent2 6 3 23" xfId="16746"/>
    <cellStyle name="20% - Accent2 6 3 23 2" xfId="39521"/>
    <cellStyle name="20% - Accent2 6 3 24" xfId="17402"/>
    <cellStyle name="20% - Accent2 6 3 24 2" xfId="40177"/>
    <cellStyle name="20% - Accent2 6 3 25" xfId="18058"/>
    <cellStyle name="20% - Accent2 6 3 25 2" xfId="40833"/>
    <cellStyle name="20% - Accent2 6 3 26" xfId="18714"/>
    <cellStyle name="20% - Accent2 6 3 26 2" xfId="41489"/>
    <cellStyle name="20% - Accent2 6 3 27" xfId="19370"/>
    <cellStyle name="20% - Accent2 6 3 27 2" xfId="42145"/>
    <cellStyle name="20% - Accent2 6 3 28" xfId="20026"/>
    <cellStyle name="20% - Accent2 6 3 28 2" xfId="42801"/>
    <cellStyle name="20% - Accent2 6 3 29" xfId="20682"/>
    <cellStyle name="20% - Accent2 6 3 29 2" xfId="43457"/>
    <cellStyle name="20% - Accent2 6 3 3" xfId="1986"/>
    <cellStyle name="20% - Accent2 6 3 3 2" xfId="4282"/>
    <cellStyle name="20% - Accent2 6 3 3 2 2" xfId="27057"/>
    <cellStyle name="20% - Accent2 6 3 3 3" xfId="24761"/>
    <cellStyle name="20% - Accent2 6 3 30" xfId="21338"/>
    <cellStyle name="20% - Accent2 6 3 30 2" xfId="44113"/>
    <cellStyle name="20% - Accent2 6 3 31" xfId="21994"/>
    <cellStyle name="20% - Accent2 6 3 31 2" xfId="44769"/>
    <cellStyle name="20% - Accent2 6 3 32" xfId="22650"/>
    <cellStyle name="20% - Accent2 6 3 32 2" xfId="45425"/>
    <cellStyle name="20% - Accent2 6 3 33" xfId="23449"/>
    <cellStyle name="20% - Accent2 6 3 4" xfId="4938"/>
    <cellStyle name="20% - Accent2 6 3 4 2" xfId="27713"/>
    <cellStyle name="20% - Accent2 6 3 5" xfId="5594"/>
    <cellStyle name="20% - Accent2 6 3 5 2" xfId="28369"/>
    <cellStyle name="20% - Accent2 6 3 6" xfId="6250"/>
    <cellStyle name="20% - Accent2 6 3 6 2" xfId="29025"/>
    <cellStyle name="20% - Accent2 6 3 7" xfId="2970"/>
    <cellStyle name="20% - Accent2 6 3 7 2" xfId="25745"/>
    <cellStyle name="20% - Accent2 6 3 8" xfId="6906"/>
    <cellStyle name="20% - Accent2 6 3 8 2" xfId="29681"/>
    <cellStyle name="20% - Accent2 6 3 9" xfId="7562"/>
    <cellStyle name="20% - Accent2 6 3 9 2" xfId="30337"/>
    <cellStyle name="20% - Accent2 6 30" xfId="19042"/>
    <cellStyle name="20% - Accent2 6 30 2" xfId="41817"/>
    <cellStyle name="20% - Accent2 6 31" xfId="19698"/>
    <cellStyle name="20% - Accent2 6 31 2" xfId="42473"/>
    <cellStyle name="20% - Accent2 6 32" xfId="20354"/>
    <cellStyle name="20% - Accent2 6 32 2" xfId="43129"/>
    <cellStyle name="20% - Accent2 6 33" xfId="21010"/>
    <cellStyle name="20% - Accent2 6 33 2" xfId="43785"/>
    <cellStyle name="20% - Accent2 6 34" xfId="21666"/>
    <cellStyle name="20% - Accent2 6 34 2" xfId="44441"/>
    <cellStyle name="20% - Accent2 6 35" xfId="22322"/>
    <cellStyle name="20% - Accent2 6 35 2" xfId="45097"/>
    <cellStyle name="20% - Accent2 6 36" xfId="261"/>
    <cellStyle name="20% - Accent2 6 37" xfId="22978"/>
    <cellStyle name="20% - Accent2 6 4" xfId="347"/>
    <cellStyle name="20% - Accent2 6 4 2" xfId="2642"/>
    <cellStyle name="20% - Accent2 6 4 2 2" xfId="25417"/>
    <cellStyle name="20% - Accent2 6 4 3" xfId="23121"/>
    <cellStyle name="20% - Accent2 6 5" xfId="1002"/>
    <cellStyle name="20% - Accent2 6 5 2" xfId="3298"/>
    <cellStyle name="20% - Accent2 6 5 2 2" xfId="26073"/>
    <cellStyle name="20% - Accent2 6 5 3" xfId="23777"/>
    <cellStyle name="20% - Accent2 6 6" xfId="1658"/>
    <cellStyle name="20% - Accent2 6 6 2" xfId="3954"/>
    <cellStyle name="20% - Accent2 6 6 2 2" xfId="26729"/>
    <cellStyle name="20% - Accent2 6 6 3" xfId="24433"/>
    <cellStyle name="20% - Accent2 6 7" xfId="4610"/>
    <cellStyle name="20% - Accent2 6 7 2" xfId="27385"/>
    <cellStyle name="20% - Accent2 6 8" xfId="5266"/>
    <cellStyle name="20% - Accent2 6 8 2" xfId="28041"/>
    <cellStyle name="20% - Accent2 6 9" xfId="5922"/>
    <cellStyle name="20% - Accent2 6 9 2" xfId="28697"/>
    <cellStyle name="20% - Accent2 7" xfId="420"/>
    <cellStyle name="20% - Accent2 7 10" xfId="6651"/>
    <cellStyle name="20% - Accent2 7 10 2" xfId="29426"/>
    <cellStyle name="20% - Accent2 7 11" xfId="7307"/>
    <cellStyle name="20% - Accent2 7 11 2" xfId="30082"/>
    <cellStyle name="20% - Accent2 7 12" xfId="7963"/>
    <cellStyle name="20% - Accent2 7 12 2" xfId="30738"/>
    <cellStyle name="20% - Accent2 7 13" xfId="8619"/>
    <cellStyle name="20% - Accent2 7 13 2" xfId="31394"/>
    <cellStyle name="20% - Accent2 7 14" xfId="9275"/>
    <cellStyle name="20% - Accent2 7 14 2" xfId="32050"/>
    <cellStyle name="20% - Accent2 7 15" xfId="9931"/>
    <cellStyle name="20% - Accent2 7 15 2" xfId="32706"/>
    <cellStyle name="20% - Accent2 7 16" xfId="10587"/>
    <cellStyle name="20% - Accent2 7 16 2" xfId="33362"/>
    <cellStyle name="20% - Accent2 7 17" xfId="11243"/>
    <cellStyle name="20% - Accent2 7 17 2" xfId="34018"/>
    <cellStyle name="20% - Accent2 7 18" xfId="11899"/>
    <cellStyle name="20% - Accent2 7 18 2" xfId="34674"/>
    <cellStyle name="20% - Accent2 7 19" xfId="12555"/>
    <cellStyle name="20% - Accent2 7 19 2" xfId="35330"/>
    <cellStyle name="20% - Accent2 7 2" xfId="747"/>
    <cellStyle name="20% - Accent2 7 2 10" xfId="8291"/>
    <cellStyle name="20% - Accent2 7 2 10 2" xfId="31066"/>
    <cellStyle name="20% - Accent2 7 2 11" xfId="8947"/>
    <cellStyle name="20% - Accent2 7 2 11 2" xfId="31722"/>
    <cellStyle name="20% - Accent2 7 2 12" xfId="9603"/>
    <cellStyle name="20% - Accent2 7 2 12 2" xfId="32378"/>
    <cellStyle name="20% - Accent2 7 2 13" xfId="10259"/>
    <cellStyle name="20% - Accent2 7 2 13 2" xfId="33034"/>
    <cellStyle name="20% - Accent2 7 2 14" xfId="10915"/>
    <cellStyle name="20% - Accent2 7 2 14 2" xfId="33690"/>
    <cellStyle name="20% - Accent2 7 2 15" xfId="11571"/>
    <cellStyle name="20% - Accent2 7 2 15 2" xfId="34346"/>
    <cellStyle name="20% - Accent2 7 2 16" xfId="12227"/>
    <cellStyle name="20% - Accent2 7 2 16 2" xfId="35002"/>
    <cellStyle name="20% - Accent2 7 2 17" xfId="12883"/>
    <cellStyle name="20% - Accent2 7 2 17 2" xfId="35658"/>
    <cellStyle name="20% - Accent2 7 2 18" xfId="13539"/>
    <cellStyle name="20% - Accent2 7 2 18 2" xfId="36314"/>
    <cellStyle name="20% - Accent2 7 2 19" xfId="14195"/>
    <cellStyle name="20% - Accent2 7 2 19 2" xfId="36970"/>
    <cellStyle name="20% - Accent2 7 2 2" xfId="1403"/>
    <cellStyle name="20% - Accent2 7 2 2 2" xfId="3699"/>
    <cellStyle name="20% - Accent2 7 2 2 2 2" xfId="26474"/>
    <cellStyle name="20% - Accent2 7 2 2 3" xfId="24178"/>
    <cellStyle name="20% - Accent2 7 2 20" xfId="14851"/>
    <cellStyle name="20% - Accent2 7 2 20 2" xfId="37626"/>
    <cellStyle name="20% - Accent2 7 2 21" xfId="15507"/>
    <cellStyle name="20% - Accent2 7 2 21 2" xfId="38282"/>
    <cellStyle name="20% - Accent2 7 2 22" xfId="16163"/>
    <cellStyle name="20% - Accent2 7 2 22 2" xfId="38938"/>
    <cellStyle name="20% - Accent2 7 2 23" xfId="16819"/>
    <cellStyle name="20% - Accent2 7 2 23 2" xfId="39594"/>
    <cellStyle name="20% - Accent2 7 2 24" xfId="17475"/>
    <cellStyle name="20% - Accent2 7 2 24 2" xfId="40250"/>
    <cellStyle name="20% - Accent2 7 2 25" xfId="18131"/>
    <cellStyle name="20% - Accent2 7 2 25 2" xfId="40906"/>
    <cellStyle name="20% - Accent2 7 2 26" xfId="18787"/>
    <cellStyle name="20% - Accent2 7 2 26 2" xfId="41562"/>
    <cellStyle name="20% - Accent2 7 2 27" xfId="19443"/>
    <cellStyle name="20% - Accent2 7 2 27 2" xfId="42218"/>
    <cellStyle name="20% - Accent2 7 2 28" xfId="20099"/>
    <cellStyle name="20% - Accent2 7 2 28 2" xfId="42874"/>
    <cellStyle name="20% - Accent2 7 2 29" xfId="20755"/>
    <cellStyle name="20% - Accent2 7 2 29 2" xfId="43530"/>
    <cellStyle name="20% - Accent2 7 2 3" xfId="2059"/>
    <cellStyle name="20% - Accent2 7 2 3 2" xfId="4355"/>
    <cellStyle name="20% - Accent2 7 2 3 2 2" xfId="27130"/>
    <cellStyle name="20% - Accent2 7 2 3 3" xfId="24834"/>
    <cellStyle name="20% - Accent2 7 2 30" xfId="21411"/>
    <cellStyle name="20% - Accent2 7 2 30 2" xfId="44186"/>
    <cellStyle name="20% - Accent2 7 2 31" xfId="22067"/>
    <cellStyle name="20% - Accent2 7 2 31 2" xfId="44842"/>
    <cellStyle name="20% - Accent2 7 2 32" xfId="22723"/>
    <cellStyle name="20% - Accent2 7 2 32 2" xfId="45498"/>
    <cellStyle name="20% - Accent2 7 2 33" xfId="23522"/>
    <cellStyle name="20% - Accent2 7 2 4" xfId="5011"/>
    <cellStyle name="20% - Accent2 7 2 4 2" xfId="27786"/>
    <cellStyle name="20% - Accent2 7 2 5" xfId="5667"/>
    <cellStyle name="20% - Accent2 7 2 5 2" xfId="28442"/>
    <cellStyle name="20% - Accent2 7 2 6" xfId="6323"/>
    <cellStyle name="20% - Accent2 7 2 6 2" xfId="29098"/>
    <cellStyle name="20% - Accent2 7 2 7" xfId="3043"/>
    <cellStyle name="20% - Accent2 7 2 7 2" xfId="25818"/>
    <cellStyle name="20% - Accent2 7 2 8" xfId="6979"/>
    <cellStyle name="20% - Accent2 7 2 8 2" xfId="29754"/>
    <cellStyle name="20% - Accent2 7 2 9" xfId="7635"/>
    <cellStyle name="20% - Accent2 7 2 9 2" xfId="30410"/>
    <cellStyle name="20% - Accent2 7 20" xfId="13211"/>
    <cellStyle name="20% - Accent2 7 20 2" xfId="35986"/>
    <cellStyle name="20% - Accent2 7 21" xfId="13867"/>
    <cellStyle name="20% - Accent2 7 21 2" xfId="36642"/>
    <cellStyle name="20% - Accent2 7 22" xfId="14523"/>
    <cellStyle name="20% - Accent2 7 22 2" xfId="37298"/>
    <cellStyle name="20% - Accent2 7 23" xfId="15179"/>
    <cellStyle name="20% - Accent2 7 23 2" xfId="37954"/>
    <cellStyle name="20% - Accent2 7 24" xfId="15835"/>
    <cellStyle name="20% - Accent2 7 24 2" xfId="38610"/>
    <cellStyle name="20% - Accent2 7 25" xfId="16491"/>
    <cellStyle name="20% - Accent2 7 25 2" xfId="39266"/>
    <cellStyle name="20% - Accent2 7 26" xfId="17147"/>
    <cellStyle name="20% - Accent2 7 26 2" xfId="39922"/>
    <cellStyle name="20% - Accent2 7 27" xfId="17803"/>
    <cellStyle name="20% - Accent2 7 27 2" xfId="40578"/>
    <cellStyle name="20% - Accent2 7 28" xfId="18459"/>
    <cellStyle name="20% - Accent2 7 28 2" xfId="41234"/>
    <cellStyle name="20% - Accent2 7 29" xfId="19115"/>
    <cellStyle name="20% - Accent2 7 29 2" xfId="41890"/>
    <cellStyle name="20% - Accent2 7 3" xfId="1075"/>
    <cellStyle name="20% - Accent2 7 3 2" xfId="2715"/>
    <cellStyle name="20% - Accent2 7 3 2 2" xfId="25490"/>
    <cellStyle name="20% - Accent2 7 3 3" xfId="23850"/>
    <cellStyle name="20% - Accent2 7 30" xfId="19771"/>
    <cellStyle name="20% - Accent2 7 30 2" xfId="42546"/>
    <cellStyle name="20% - Accent2 7 31" xfId="20427"/>
    <cellStyle name="20% - Accent2 7 31 2" xfId="43202"/>
    <cellStyle name="20% - Accent2 7 32" xfId="21083"/>
    <cellStyle name="20% - Accent2 7 32 2" xfId="43858"/>
    <cellStyle name="20% - Accent2 7 33" xfId="21739"/>
    <cellStyle name="20% - Accent2 7 33 2" xfId="44514"/>
    <cellStyle name="20% - Accent2 7 34" xfId="22395"/>
    <cellStyle name="20% - Accent2 7 34 2" xfId="45170"/>
    <cellStyle name="20% - Accent2 7 35" xfId="23194"/>
    <cellStyle name="20% - Accent2 7 4" xfId="1731"/>
    <cellStyle name="20% - Accent2 7 4 2" xfId="3371"/>
    <cellStyle name="20% - Accent2 7 4 2 2" xfId="26146"/>
    <cellStyle name="20% - Accent2 7 4 3" xfId="24506"/>
    <cellStyle name="20% - Accent2 7 5" xfId="4027"/>
    <cellStyle name="20% - Accent2 7 5 2" xfId="26802"/>
    <cellStyle name="20% - Accent2 7 6" xfId="4683"/>
    <cellStyle name="20% - Accent2 7 6 2" xfId="27458"/>
    <cellStyle name="20% - Accent2 7 7" xfId="5339"/>
    <cellStyle name="20% - Accent2 7 7 2" xfId="28114"/>
    <cellStyle name="20% - Accent2 7 8" xfId="5995"/>
    <cellStyle name="20% - Accent2 7 8 2" xfId="28770"/>
    <cellStyle name="20% - Accent2 7 9" xfId="2387"/>
    <cellStyle name="20% - Accent2 7 9 2" xfId="25162"/>
    <cellStyle name="20% - Accent2 8" xfId="434"/>
    <cellStyle name="20% - Accent2 8 10" xfId="6665"/>
    <cellStyle name="20% - Accent2 8 10 2" xfId="29440"/>
    <cellStyle name="20% - Accent2 8 11" xfId="7321"/>
    <cellStyle name="20% - Accent2 8 11 2" xfId="30096"/>
    <cellStyle name="20% - Accent2 8 12" xfId="7977"/>
    <cellStyle name="20% - Accent2 8 12 2" xfId="30752"/>
    <cellStyle name="20% - Accent2 8 13" xfId="8633"/>
    <cellStyle name="20% - Accent2 8 13 2" xfId="31408"/>
    <cellStyle name="20% - Accent2 8 14" xfId="9289"/>
    <cellStyle name="20% - Accent2 8 14 2" xfId="32064"/>
    <cellStyle name="20% - Accent2 8 15" xfId="9945"/>
    <cellStyle name="20% - Accent2 8 15 2" xfId="32720"/>
    <cellStyle name="20% - Accent2 8 16" xfId="10601"/>
    <cellStyle name="20% - Accent2 8 16 2" xfId="33376"/>
    <cellStyle name="20% - Accent2 8 17" xfId="11257"/>
    <cellStyle name="20% - Accent2 8 17 2" xfId="34032"/>
    <cellStyle name="20% - Accent2 8 18" xfId="11913"/>
    <cellStyle name="20% - Accent2 8 18 2" xfId="34688"/>
    <cellStyle name="20% - Accent2 8 19" xfId="12569"/>
    <cellStyle name="20% - Accent2 8 19 2" xfId="35344"/>
    <cellStyle name="20% - Accent2 8 2" xfId="761"/>
    <cellStyle name="20% - Accent2 8 2 10" xfId="8305"/>
    <cellStyle name="20% - Accent2 8 2 10 2" xfId="31080"/>
    <cellStyle name="20% - Accent2 8 2 11" xfId="8961"/>
    <cellStyle name="20% - Accent2 8 2 11 2" xfId="31736"/>
    <cellStyle name="20% - Accent2 8 2 12" xfId="9617"/>
    <cellStyle name="20% - Accent2 8 2 12 2" xfId="32392"/>
    <cellStyle name="20% - Accent2 8 2 13" xfId="10273"/>
    <cellStyle name="20% - Accent2 8 2 13 2" xfId="33048"/>
    <cellStyle name="20% - Accent2 8 2 14" xfId="10929"/>
    <cellStyle name="20% - Accent2 8 2 14 2" xfId="33704"/>
    <cellStyle name="20% - Accent2 8 2 15" xfId="11585"/>
    <cellStyle name="20% - Accent2 8 2 15 2" xfId="34360"/>
    <cellStyle name="20% - Accent2 8 2 16" xfId="12241"/>
    <cellStyle name="20% - Accent2 8 2 16 2" xfId="35016"/>
    <cellStyle name="20% - Accent2 8 2 17" xfId="12897"/>
    <cellStyle name="20% - Accent2 8 2 17 2" xfId="35672"/>
    <cellStyle name="20% - Accent2 8 2 18" xfId="13553"/>
    <cellStyle name="20% - Accent2 8 2 18 2" xfId="36328"/>
    <cellStyle name="20% - Accent2 8 2 19" xfId="14209"/>
    <cellStyle name="20% - Accent2 8 2 19 2" xfId="36984"/>
    <cellStyle name="20% - Accent2 8 2 2" xfId="1417"/>
    <cellStyle name="20% - Accent2 8 2 2 2" xfId="3713"/>
    <cellStyle name="20% - Accent2 8 2 2 2 2" xfId="26488"/>
    <cellStyle name="20% - Accent2 8 2 2 3" xfId="24192"/>
    <cellStyle name="20% - Accent2 8 2 20" xfId="14865"/>
    <cellStyle name="20% - Accent2 8 2 20 2" xfId="37640"/>
    <cellStyle name="20% - Accent2 8 2 21" xfId="15521"/>
    <cellStyle name="20% - Accent2 8 2 21 2" xfId="38296"/>
    <cellStyle name="20% - Accent2 8 2 22" xfId="16177"/>
    <cellStyle name="20% - Accent2 8 2 22 2" xfId="38952"/>
    <cellStyle name="20% - Accent2 8 2 23" xfId="16833"/>
    <cellStyle name="20% - Accent2 8 2 23 2" xfId="39608"/>
    <cellStyle name="20% - Accent2 8 2 24" xfId="17489"/>
    <cellStyle name="20% - Accent2 8 2 24 2" xfId="40264"/>
    <cellStyle name="20% - Accent2 8 2 25" xfId="18145"/>
    <cellStyle name="20% - Accent2 8 2 25 2" xfId="40920"/>
    <cellStyle name="20% - Accent2 8 2 26" xfId="18801"/>
    <cellStyle name="20% - Accent2 8 2 26 2" xfId="41576"/>
    <cellStyle name="20% - Accent2 8 2 27" xfId="19457"/>
    <cellStyle name="20% - Accent2 8 2 27 2" xfId="42232"/>
    <cellStyle name="20% - Accent2 8 2 28" xfId="20113"/>
    <cellStyle name="20% - Accent2 8 2 28 2" xfId="42888"/>
    <cellStyle name="20% - Accent2 8 2 29" xfId="20769"/>
    <cellStyle name="20% - Accent2 8 2 29 2" xfId="43544"/>
    <cellStyle name="20% - Accent2 8 2 3" xfId="2073"/>
    <cellStyle name="20% - Accent2 8 2 3 2" xfId="4369"/>
    <cellStyle name="20% - Accent2 8 2 3 2 2" xfId="27144"/>
    <cellStyle name="20% - Accent2 8 2 3 3" xfId="24848"/>
    <cellStyle name="20% - Accent2 8 2 30" xfId="21425"/>
    <cellStyle name="20% - Accent2 8 2 30 2" xfId="44200"/>
    <cellStyle name="20% - Accent2 8 2 31" xfId="22081"/>
    <cellStyle name="20% - Accent2 8 2 31 2" xfId="44856"/>
    <cellStyle name="20% - Accent2 8 2 32" xfId="22737"/>
    <cellStyle name="20% - Accent2 8 2 32 2" xfId="45512"/>
    <cellStyle name="20% - Accent2 8 2 33" xfId="23536"/>
    <cellStyle name="20% - Accent2 8 2 4" xfId="5025"/>
    <cellStyle name="20% - Accent2 8 2 4 2" xfId="27800"/>
    <cellStyle name="20% - Accent2 8 2 5" xfId="5681"/>
    <cellStyle name="20% - Accent2 8 2 5 2" xfId="28456"/>
    <cellStyle name="20% - Accent2 8 2 6" xfId="6337"/>
    <cellStyle name="20% - Accent2 8 2 6 2" xfId="29112"/>
    <cellStyle name="20% - Accent2 8 2 7" xfId="3057"/>
    <cellStyle name="20% - Accent2 8 2 7 2" xfId="25832"/>
    <cellStyle name="20% - Accent2 8 2 8" xfId="6993"/>
    <cellStyle name="20% - Accent2 8 2 8 2" xfId="29768"/>
    <cellStyle name="20% - Accent2 8 2 9" xfId="7649"/>
    <cellStyle name="20% - Accent2 8 2 9 2" xfId="30424"/>
    <cellStyle name="20% - Accent2 8 20" xfId="13225"/>
    <cellStyle name="20% - Accent2 8 20 2" xfId="36000"/>
    <cellStyle name="20% - Accent2 8 21" xfId="13881"/>
    <cellStyle name="20% - Accent2 8 21 2" xfId="36656"/>
    <cellStyle name="20% - Accent2 8 22" xfId="14537"/>
    <cellStyle name="20% - Accent2 8 22 2" xfId="37312"/>
    <cellStyle name="20% - Accent2 8 23" xfId="15193"/>
    <cellStyle name="20% - Accent2 8 23 2" xfId="37968"/>
    <cellStyle name="20% - Accent2 8 24" xfId="15849"/>
    <cellStyle name="20% - Accent2 8 24 2" xfId="38624"/>
    <cellStyle name="20% - Accent2 8 25" xfId="16505"/>
    <cellStyle name="20% - Accent2 8 25 2" xfId="39280"/>
    <cellStyle name="20% - Accent2 8 26" xfId="17161"/>
    <cellStyle name="20% - Accent2 8 26 2" xfId="39936"/>
    <cellStyle name="20% - Accent2 8 27" xfId="17817"/>
    <cellStyle name="20% - Accent2 8 27 2" xfId="40592"/>
    <cellStyle name="20% - Accent2 8 28" xfId="18473"/>
    <cellStyle name="20% - Accent2 8 28 2" xfId="41248"/>
    <cellStyle name="20% - Accent2 8 29" xfId="19129"/>
    <cellStyle name="20% - Accent2 8 29 2" xfId="41904"/>
    <cellStyle name="20% - Accent2 8 3" xfId="1089"/>
    <cellStyle name="20% - Accent2 8 3 2" xfId="2729"/>
    <cellStyle name="20% - Accent2 8 3 2 2" xfId="25504"/>
    <cellStyle name="20% - Accent2 8 3 3" xfId="23864"/>
    <cellStyle name="20% - Accent2 8 30" xfId="19785"/>
    <cellStyle name="20% - Accent2 8 30 2" xfId="42560"/>
    <cellStyle name="20% - Accent2 8 31" xfId="20441"/>
    <cellStyle name="20% - Accent2 8 31 2" xfId="43216"/>
    <cellStyle name="20% - Accent2 8 32" xfId="21097"/>
    <cellStyle name="20% - Accent2 8 32 2" xfId="43872"/>
    <cellStyle name="20% - Accent2 8 33" xfId="21753"/>
    <cellStyle name="20% - Accent2 8 33 2" xfId="44528"/>
    <cellStyle name="20% - Accent2 8 34" xfId="22409"/>
    <cellStyle name="20% - Accent2 8 34 2" xfId="45184"/>
    <cellStyle name="20% - Accent2 8 35" xfId="23208"/>
    <cellStyle name="20% - Accent2 8 4" xfId="1745"/>
    <cellStyle name="20% - Accent2 8 4 2" xfId="3385"/>
    <cellStyle name="20% - Accent2 8 4 2 2" xfId="26160"/>
    <cellStyle name="20% - Accent2 8 4 3" xfId="24520"/>
    <cellStyle name="20% - Accent2 8 5" xfId="4041"/>
    <cellStyle name="20% - Accent2 8 5 2" xfId="26816"/>
    <cellStyle name="20% - Accent2 8 6" xfId="4697"/>
    <cellStyle name="20% - Accent2 8 6 2" xfId="27472"/>
    <cellStyle name="20% - Accent2 8 7" xfId="5353"/>
    <cellStyle name="20% - Accent2 8 7 2" xfId="28128"/>
    <cellStyle name="20% - Accent2 8 8" xfId="6009"/>
    <cellStyle name="20% - Accent2 8 8 2" xfId="28784"/>
    <cellStyle name="20% - Accent2 8 9" xfId="2401"/>
    <cellStyle name="20% - Accent2 8 9 2" xfId="25176"/>
    <cellStyle name="20% - Accent2 9" xfId="448"/>
    <cellStyle name="20% - Accent2 9 10" xfId="6679"/>
    <cellStyle name="20% - Accent2 9 10 2" xfId="29454"/>
    <cellStyle name="20% - Accent2 9 11" xfId="7335"/>
    <cellStyle name="20% - Accent2 9 11 2" xfId="30110"/>
    <cellStyle name="20% - Accent2 9 12" xfId="7991"/>
    <cellStyle name="20% - Accent2 9 12 2" xfId="30766"/>
    <cellStyle name="20% - Accent2 9 13" xfId="8647"/>
    <cellStyle name="20% - Accent2 9 13 2" xfId="31422"/>
    <cellStyle name="20% - Accent2 9 14" xfId="9303"/>
    <cellStyle name="20% - Accent2 9 14 2" xfId="32078"/>
    <cellStyle name="20% - Accent2 9 15" xfId="9959"/>
    <cellStyle name="20% - Accent2 9 15 2" xfId="32734"/>
    <cellStyle name="20% - Accent2 9 16" xfId="10615"/>
    <cellStyle name="20% - Accent2 9 16 2" xfId="33390"/>
    <cellStyle name="20% - Accent2 9 17" xfId="11271"/>
    <cellStyle name="20% - Accent2 9 17 2" xfId="34046"/>
    <cellStyle name="20% - Accent2 9 18" xfId="11927"/>
    <cellStyle name="20% - Accent2 9 18 2" xfId="34702"/>
    <cellStyle name="20% - Accent2 9 19" xfId="12583"/>
    <cellStyle name="20% - Accent2 9 19 2" xfId="35358"/>
    <cellStyle name="20% - Accent2 9 2" xfId="775"/>
    <cellStyle name="20% - Accent2 9 2 10" xfId="8319"/>
    <cellStyle name="20% - Accent2 9 2 10 2" xfId="31094"/>
    <cellStyle name="20% - Accent2 9 2 11" xfId="8975"/>
    <cellStyle name="20% - Accent2 9 2 11 2" xfId="31750"/>
    <cellStyle name="20% - Accent2 9 2 12" xfId="9631"/>
    <cellStyle name="20% - Accent2 9 2 12 2" xfId="32406"/>
    <cellStyle name="20% - Accent2 9 2 13" xfId="10287"/>
    <cellStyle name="20% - Accent2 9 2 13 2" xfId="33062"/>
    <cellStyle name="20% - Accent2 9 2 14" xfId="10943"/>
    <cellStyle name="20% - Accent2 9 2 14 2" xfId="33718"/>
    <cellStyle name="20% - Accent2 9 2 15" xfId="11599"/>
    <cellStyle name="20% - Accent2 9 2 15 2" xfId="34374"/>
    <cellStyle name="20% - Accent2 9 2 16" xfId="12255"/>
    <cellStyle name="20% - Accent2 9 2 16 2" xfId="35030"/>
    <cellStyle name="20% - Accent2 9 2 17" xfId="12911"/>
    <cellStyle name="20% - Accent2 9 2 17 2" xfId="35686"/>
    <cellStyle name="20% - Accent2 9 2 18" xfId="13567"/>
    <cellStyle name="20% - Accent2 9 2 18 2" xfId="36342"/>
    <cellStyle name="20% - Accent2 9 2 19" xfId="14223"/>
    <cellStyle name="20% - Accent2 9 2 19 2" xfId="36998"/>
    <cellStyle name="20% - Accent2 9 2 2" xfId="1431"/>
    <cellStyle name="20% - Accent2 9 2 2 2" xfId="3727"/>
    <cellStyle name="20% - Accent2 9 2 2 2 2" xfId="26502"/>
    <cellStyle name="20% - Accent2 9 2 2 3" xfId="24206"/>
    <cellStyle name="20% - Accent2 9 2 20" xfId="14879"/>
    <cellStyle name="20% - Accent2 9 2 20 2" xfId="37654"/>
    <cellStyle name="20% - Accent2 9 2 21" xfId="15535"/>
    <cellStyle name="20% - Accent2 9 2 21 2" xfId="38310"/>
    <cellStyle name="20% - Accent2 9 2 22" xfId="16191"/>
    <cellStyle name="20% - Accent2 9 2 22 2" xfId="38966"/>
    <cellStyle name="20% - Accent2 9 2 23" xfId="16847"/>
    <cellStyle name="20% - Accent2 9 2 23 2" xfId="39622"/>
    <cellStyle name="20% - Accent2 9 2 24" xfId="17503"/>
    <cellStyle name="20% - Accent2 9 2 24 2" xfId="40278"/>
    <cellStyle name="20% - Accent2 9 2 25" xfId="18159"/>
    <cellStyle name="20% - Accent2 9 2 25 2" xfId="40934"/>
    <cellStyle name="20% - Accent2 9 2 26" xfId="18815"/>
    <cellStyle name="20% - Accent2 9 2 26 2" xfId="41590"/>
    <cellStyle name="20% - Accent2 9 2 27" xfId="19471"/>
    <cellStyle name="20% - Accent2 9 2 27 2" xfId="42246"/>
    <cellStyle name="20% - Accent2 9 2 28" xfId="20127"/>
    <cellStyle name="20% - Accent2 9 2 28 2" xfId="42902"/>
    <cellStyle name="20% - Accent2 9 2 29" xfId="20783"/>
    <cellStyle name="20% - Accent2 9 2 29 2" xfId="43558"/>
    <cellStyle name="20% - Accent2 9 2 3" xfId="2087"/>
    <cellStyle name="20% - Accent2 9 2 3 2" xfId="4383"/>
    <cellStyle name="20% - Accent2 9 2 3 2 2" xfId="27158"/>
    <cellStyle name="20% - Accent2 9 2 3 3" xfId="24862"/>
    <cellStyle name="20% - Accent2 9 2 30" xfId="21439"/>
    <cellStyle name="20% - Accent2 9 2 30 2" xfId="44214"/>
    <cellStyle name="20% - Accent2 9 2 31" xfId="22095"/>
    <cellStyle name="20% - Accent2 9 2 31 2" xfId="44870"/>
    <cellStyle name="20% - Accent2 9 2 32" xfId="22751"/>
    <cellStyle name="20% - Accent2 9 2 32 2" xfId="45526"/>
    <cellStyle name="20% - Accent2 9 2 33" xfId="23550"/>
    <cellStyle name="20% - Accent2 9 2 4" xfId="5039"/>
    <cellStyle name="20% - Accent2 9 2 4 2" xfId="27814"/>
    <cellStyle name="20% - Accent2 9 2 5" xfId="5695"/>
    <cellStyle name="20% - Accent2 9 2 5 2" xfId="28470"/>
    <cellStyle name="20% - Accent2 9 2 6" xfId="6351"/>
    <cellStyle name="20% - Accent2 9 2 6 2" xfId="29126"/>
    <cellStyle name="20% - Accent2 9 2 7" xfId="3071"/>
    <cellStyle name="20% - Accent2 9 2 7 2" xfId="25846"/>
    <cellStyle name="20% - Accent2 9 2 8" xfId="7007"/>
    <cellStyle name="20% - Accent2 9 2 8 2" xfId="29782"/>
    <cellStyle name="20% - Accent2 9 2 9" xfId="7663"/>
    <cellStyle name="20% - Accent2 9 2 9 2" xfId="30438"/>
    <cellStyle name="20% - Accent2 9 20" xfId="13239"/>
    <cellStyle name="20% - Accent2 9 20 2" xfId="36014"/>
    <cellStyle name="20% - Accent2 9 21" xfId="13895"/>
    <cellStyle name="20% - Accent2 9 21 2" xfId="36670"/>
    <cellStyle name="20% - Accent2 9 22" xfId="14551"/>
    <cellStyle name="20% - Accent2 9 22 2" xfId="37326"/>
    <cellStyle name="20% - Accent2 9 23" xfId="15207"/>
    <cellStyle name="20% - Accent2 9 23 2" xfId="37982"/>
    <cellStyle name="20% - Accent2 9 24" xfId="15863"/>
    <cellStyle name="20% - Accent2 9 24 2" xfId="38638"/>
    <cellStyle name="20% - Accent2 9 25" xfId="16519"/>
    <cellStyle name="20% - Accent2 9 25 2" xfId="39294"/>
    <cellStyle name="20% - Accent2 9 26" xfId="17175"/>
    <cellStyle name="20% - Accent2 9 26 2" xfId="39950"/>
    <cellStyle name="20% - Accent2 9 27" xfId="17831"/>
    <cellStyle name="20% - Accent2 9 27 2" xfId="40606"/>
    <cellStyle name="20% - Accent2 9 28" xfId="18487"/>
    <cellStyle name="20% - Accent2 9 28 2" xfId="41262"/>
    <cellStyle name="20% - Accent2 9 29" xfId="19143"/>
    <cellStyle name="20% - Accent2 9 29 2" xfId="41918"/>
    <cellStyle name="20% - Accent2 9 3" xfId="1103"/>
    <cellStyle name="20% - Accent2 9 3 2" xfId="2743"/>
    <cellStyle name="20% - Accent2 9 3 2 2" xfId="25518"/>
    <cellStyle name="20% - Accent2 9 3 3" xfId="23878"/>
    <cellStyle name="20% - Accent2 9 30" xfId="19799"/>
    <cellStyle name="20% - Accent2 9 30 2" xfId="42574"/>
    <cellStyle name="20% - Accent2 9 31" xfId="20455"/>
    <cellStyle name="20% - Accent2 9 31 2" xfId="43230"/>
    <cellStyle name="20% - Accent2 9 32" xfId="21111"/>
    <cellStyle name="20% - Accent2 9 32 2" xfId="43886"/>
    <cellStyle name="20% - Accent2 9 33" xfId="21767"/>
    <cellStyle name="20% - Accent2 9 33 2" xfId="44542"/>
    <cellStyle name="20% - Accent2 9 34" xfId="22423"/>
    <cellStyle name="20% - Accent2 9 34 2" xfId="45198"/>
    <cellStyle name="20% - Accent2 9 35" xfId="23222"/>
    <cellStyle name="20% - Accent2 9 4" xfId="1759"/>
    <cellStyle name="20% - Accent2 9 4 2" xfId="3399"/>
    <cellStyle name="20% - Accent2 9 4 2 2" xfId="26174"/>
    <cellStyle name="20% - Accent2 9 4 3" xfId="24534"/>
    <cellStyle name="20% - Accent2 9 5" xfId="4055"/>
    <cellStyle name="20% - Accent2 9 5 2" xfId="26830"/>
    <cellStyle name="20% - Accent2 9 6" xfId="4711"/>
    <cellStyle name="20% - Accent2 9 6 2" xfId="27486"/>
    <cellStyle name="20% - Accent2 9 7" xfId="5367"/>
    <cellStyle name="20% - Accent2 9 7 2" xfId="28142"/>
    <cellStyle name="20% - Accent2 9 8" xfId="6023"/>
    <cellStyle name="20% - Accent2 9 8 2" xfId="28798"/>
    <cellStyle name="20% - Accent2 9 9" xfId="2415"/>
    <cellStyle name="20% - Accent2 9 9 2" xfId="25190"/>
    <cellStyle name="20% - Accent3" xfId="29" builtinId="38" customBuiltin="1"/>
    <cellStyle name="20% - Accent3 10" xfId="462"/>
    <cellStyle name="20% - Accent3 10 10" xfId="6693"/>
    <cellStyle name="20% - Accent3 10 10 2" xfId="29468"/>
    <cellStyle name="20% - Accent3 10 11" xfId="7349"/>
    <cellStyle name="20% - Accent3 10 11 2" xfId="30124"/>
    <cellStyle name="20% - Accent3 10 12" xfId="8005"/>
    <cellStyle name="20% - Accent3 10 12 2" xfId="30780"/>
    <cellStyle name="20% - Accent3 10 13" xfId="8661"/>
    <cellStyle name="20% - Accent3 10 13 2" xfId="31436"/>
    <cellStyle name="20% - Accent3 10 14" xfId="9317"/>
    <cellStyle name="20% - Accent3 10 14 2" xfId="32092"/>
    <cellStyle name="20% - Accent3 10 15" xfId="9973"/>
    <cellStyle name="20% - Accent3 10 15 2" xfId="32748"/>
    <cellStyle name="20% - Accent3 10 16" xfId="10629"/>
    <cellStyle name="20% - Accent3 10 16 2" xfId="33404"/>
    <cellStyle name="20% - Accent3 10 17" xfId="11285"/>
    <cellStyle name="20% - Accent3 10 17 2" xfId="34060"/>
    <cellStyle name="20% - Accent3 10 18" xfId="11941"/>
    <cellStyle name="20% - Accent3 10 18 2" xfId="34716"/>
    <cellStyle name="20% - Accent3 10 19" xfId="12597"/>
    <cellStyle name="20% - Accent3 10 19 2" xfId="35372"/>
    <cellStyle name="20% - Accent3 10 2" xfId="789"/>
    <cellStyle name="20% - Accent3 10 2 10" xfId="8333"/>
    <cellStyle name="20% - Accent3 10 2 10 2" xfId="31108"/>
    <cellStyle name="20% - Accent3 10 2 11" xfId="8989"/>
    <cellStyle name="20% - Accent3 10 2 11 2" xfId="31764"/>
    <cellStyle name="20% - Accent3 10 2 12" xfId="9645"/>
    <cellStyle name="20% - Accent3 10 2 12 2" xfId="32420"/>
    <cellStyle name="20% - Accent3 10 2 13" xfId="10301"/>
    <cellStyle name="20% - Accent3 10 2 13 2" xfId="33076"/>
    <cellStyle name="20% - Accent3 10 2 14" xfId="10957"/>
    <cellStyle name="20% - Accent3 10 2 14 2" xfId="33732"/>
    <cellStyle name="20% - Accent3 10 2 15" xfId="11613"/>
    <cellStyle name="20% - Accent3 10 2 15 2" xfId="34388"/>
    <cellStyle name="20% - Accent3 10 2 16" xfId="12269"/>
    <cellStyle name="20% - Accent3 10 2 16 2" xfId="35044"/>
    <cellStyle name="20% - Accent3 10 2 17" xfId="12925"/>
    <cellStyle name="20% - Accent3 10 2 17 2" xfId="35700"/>
    <cellStyle name="20% - Accent3 10 2 18" xfId="13581"/>
    <cellStyle name="20% - Accent3 10 2 18 2" xfId="36356"/>
    <cellStyle name="20% - Accent3 10 2 19" xfId="14237"/>
    <cellStyle name="20% - Accent3 10 2 19 2" xfId="37012"/>
    <cellStyle name="20% - Accent3 10 2 2" xfId="1445"/>
    <cellStyle name="20% - Accent3 10 2 2 2" xfId="3741"/>
    <cellStyle name="20% - Accent3 10 2 2 2 2" xfId="26516"/>
    <cellStyle name="20% - Accent3 10 2 2 3" xfId="24220"/>
    <cellStyle name="20% - Accent3 10 2 20" xfId="14893"/>
    <cellStyle name="20% - Accent3 10 2 20 2" xfId="37668"/>
    <cellStyle name="20% - Accent3 10 2 21" xfId="15549"/>
    <cellStyle name="20% - Accent3 10 2 21 2" xfId="38324"/>
    <cellStyle name="20% - Accent3 10 2 22" xfId="16205"/>
    <cellStyle name="20% - Accent3 10 2 22 2" xfId="38980"/>
    <cellStyle name="20% - Accent3 10 2 23" xfId="16861"/>
    <cellStyle name="20% - Accent3 10 2 23 2" xfId="39636"/>
    <cellStyle name="20% - Accent3 10 2 24" xfId="17517"/>
    <cellStyle name="20% - Accent3 10 2 24 2" xfId="40292"/>
    <cellStyle name="20% - Accent3 10 2 25" xfId="18173"/>
    <cellStyle name="20% - Accent3 10 2 25 2" xfId="40948"/>
    <cellStyle name="20% - Accent3 10 2 26" xfId="18829"/>
    <cellStyle name="20% - Accent3 10 2 26 2" xfId="41604"/>
    <cellStyle name="20% - Accent3 10 2 27" xfId="19485"/>
    <cellStyle name="20% - Accent3 10 2 27 2" xfId="42260"/>
    <cellStyle name="20% - Accent3 10 2 28" xfId="20141"/>
    <cellStyle name="20% - Accent3 10 2 28 2" xfId="42916"/>
    <cellStyle name="20% - Accent3 10 2 29" xfId="20797"/>
    <cellStyle name="20% - Accent3 10 2 29 2" xfId="43572"/>
    <cellStyle name="20% - Accent3 10 2 3" xfId="2101"/>
    <cellStyle name="20% - Accent3 10 2 3 2" xfId="4397"/>
    <cellStyle name="20% - Accent3 10 2 3 2 2" xfId="27172"/>
    <cellStyle name="20% - Accent3 10 2 3 3" xfId="24876"/>
    <cellStyle name="20% - Accent3 10 2 30" xfId="21453"/>
    <cellStyle name="20% - Accent3 10 2 30 2" xfId="44228"/>
    <cellStyle name="20% - Accent3 10 2 31" xfId="22109"/>
    <cellStyle name="20% - Accent3 10 2 31 2" xfId="44884"/>
    <cellStyle name="20% - Accent3 10 2 32" xfId="22765"/>
    <cellStyle name="20% - Accent3 10 2 32 2" xfId="45540"/>
    <cellStyle name="20% - Accent3 10 2 33" xfId="23564"/>
    <cellStyle name="20% - Accent3 10 2 4" xfId="5053"/>
    <cellStyle name="20% - Accent3 10 2 4 2" xfId="27828"/>
    <cellStyle name="20% - Accent3 10 2 5" xfId="5709"/>
    <cellStyle name="20% - Accent3 10 2 5 2" xfId="28484"/>
    <cellStyle name="20% - Accent3 10 2 6" xfId="6365"/>
    <cellStyle name="20% - Accent3 10 2 6 2" xfId="29140"/>
    <cellStyle name="20% - Accent3 10 2 7" xfId="3085"/>
    <cellStyle name="20% - Accent3 10 2 7 2" xfId="25860"/>
    <cellStyle name="20% - Accent3 10 2 8" xfId="7021"/>
    <cellStyle name="20% - Accent3 10 2 8 2" xfId="29796"/>
    <cellStyle name="20% - Accent3 10 2 9" xfId="7677"/>
    <cellStyle name="20% - Accent3 10 2 9 2" xfId="30452"/>
    <cellStyle name="20% - Accent3 10 20" xfId="13253"/>
    <cellStyle name="20% - Accent3 10 20 2" xfId="36028"/>
    <cellStyle name="20% - Accent3 10 21" xfId="13909"/>
    <cellStyle name="20% - Accent3 10 21 2" xfId="36684"/>
    <cellStyle name="20% - Accent3 10 22" xfId="14565"/>
    <cellStyle name="20% - Accent3 10 22 2" xfId="37340"/>
    <cellStyle name="20% - Accent3 10 23" xfId="15221"/>
    <cellStyle name="20% - Accent3 10 23 2" xfId="37996"/>
    <cellStyle name="20% - Accent3 10 24" xfId="15877"/>
    <cellStyle name="20% - Accent3 10 24 2" xfId="38652"/>
    <cellStyle name="20% - Accent3 10 25" xfId="16533"/>
    <cellStyle name="20% - Accent3 10 25 2" xfId="39308"/>
    <cellStyle name="20% - Accent3 10 26" xfId="17189"/>
    <cellStyle name="20% - Accent3 10 26 2" xfId="39964"/>
    <cellStyle name="20% - Accent3 10 27" xfId="17845"/>
    <cellStyle name="20% - Accent3 10 27 2" xfId="40620"/>
    <cellStyle name="20% - Accent3 10 28" xfId="18501"/>
    <cellStyle name="20% - Accent3 10 28 2" xfId="41276"/>
    <cellStyle name="20% - Accent3 10 29" xfId="19157"/>
    <cellStyle name="20% - Accent3 10 29 2" xfId="41932"/>
    <cellStyle name="20% - Accent3 10 3" xfId="1117"/>
    <cellStyle name="20% - Accent3 10 3 2" xfId="2757"/>
    <cellStyle name="20% - Accent3 10 3 2 2" xfId="25532"/>
    <cellStyle name="20% - Accent3 10 3 3" xfId="23892"/>
    <cellStyle name="20% - Accent3 10 30" xfId="19813"/>
    <cellStyle name="20% - Accent3 10 30 2" xfId="42588"/>
    <cellStyle name="20% - Accent3 10 31" xfId="20469"/>
    <cellStyle name="20% - Accent3 10 31 2" xfId="43244"/>
    <cellStyle name="20% - Accent3 10 32" xfId="21125"/>
    <cellStyle name="20% - Accent3 10 32 2" xfId="43900"/>
    <cellStyle name="20% - Accent3 10 33" xfId="21781"/>
    <cellStyle name="20% - Accent3 10 33 2" xfId="44556"/>
    <cellStyle name="20% - Accent3 10 34" xfId="22437"/>
    <cellStyle name="20% - Accent3 10 34 2" xfId="45212"/>
    <cellStyle name="20% - Accent3 10 35" xfId="23236"/>
    <cellStyle name="20% - Accent3 10 4" xfId="1773"/>
    <cellStyle name="20% - Accent3 10 4 2" xfId="3413"/>
    <cellStyle name="20% - Accent3 10 4 2 2" xfId="26188"/>
    <cellStyle name="20% - Accent3 10 4 3" xfId="24548"/>
    <cellStyle name="20% - Accent3 10 5" xfId="4069"/>
    <cellStyle name="20% - Accent3 10 5 2" xfId="26844"/>
    <cellStyle name="20% - Accent3 10 6" xfId="4725"/>
    <cellStyle name="20% - Accent3 10 6 2" xfId="27500"/>
    <cellStyle name="20% - Accent3 10 7" xfId="5381"/>
    <cellStyle name="20% - Accent3 10 7 2" xfId="28156"/>
    <cellStyle name="20% - Accent3 10 8" xfId="6037"/>
    <cellStyle name="20% - Accent3 10 8 2" xfId="28812"/>
    <cellStyle name="20% - Accent3 10 9" xfId="2429"/>
    <cellStyle name="20% - Accent3 10 9 2" xfId="25204"/>
    <cellStyle name="20% - Accent3 11" xfId="604"/>
    <cellStyle name="20% - Accent3 11 10" xfId="8148"/>
    <cellStyle name="20% - Accent3 11 10 2" xfId="30923"/>
    <cellStyle name="20% - Accent3 11 11" xfId="8804"/>
    <cellStyle name="20% - Accent3 11 11 2" xfId="31579"/>
    <cellStyle name="20% - Accent3 11 12" xfId="9460"/>
    <cellStyle name="20% - Accent3 11 12 2" xfId="32235"/>
    <cellStyle name="20% - Accent3 11 13" xfId="10116"/>
    <cellStyle name="20% - Accent3 11 13 2" xfId="32891"/>
    <cellStyle name="20% - Accent3 11 14" xfId="10772"/>
    <cellStyle name="20% - Accent3 11 14 2" xfId="33547"/>
    <cellStyle name="20% - Accent3 11 15" xfId="11428"/>
    <cellStyle name="20% - Accent3 11 15 2" xfId="34203"/>
    <cellStyle name="20% - Accent3 11 16" xfId="12084"/>
    <cellStyle name="20% - Accent3 11 16 2" xfId="34859"/>
    <cellStyle name="20% - Accent3 11 17" xfId="12740"/>
    <cellStyle name="20% - Accent3 11 17 2" xfId="35515"/>
    <cellStyle name="20% - Accent3 11 18" xfId="13396"/>
    <cellStyle name="20% - Accent3 11 18 2" xfId="36171"/>
    <cellStyle name="20% - Accent3 11 19" xfId="14052"/>
    <cellStyle name="20% - Accent3 11 19 2" xfId="36827"/>
    <cellStyle name="20% - Accent3 11 2" xfId="1260"/>
    <cellStyle name="20% - Accent3 11 2 2" xfId="3556"/>
    <cellStyle name="20% - Accent3 11 2 2 2" xfId="26331"/>
    <cellStyle name="20% - Accent3 11 2 3" xfId="24035"/>
    <cellStyle name="20% - Accent3 11 20" xfId="14708"/>
    <cellStyle name="20% - Accent3 11 20 2" xfId="37483"/>
    <cellStyle name="20% - Accent3 11 21" xfId="15364"/>
    <cellStyle name="20% - Accent3 11 21 2" xfId="38139"/>
    <cellStyle name="20% - Accent3 11 22" xfId="16020"/>
    <cellStyle name="20% - Accent3 11 22 2" xfId="38795"/>
    <cellStyle name="20% - Accent3 11 23" xfId="16676"/>
    <cellStyle name="20% - Accent3 11 23 2" xfId="39451"/>
    <cellStyle name="20% - Accent3 11 24" xfId="17332"/>
    <cellStyle name="20% - Accent3 11 24 2" xfId="40107"/>
    <cellStyle name="20% - Accent3 11 25" xfId="17988"/>
    <cellStyle name="20% - Accent3 11 25 2" xfId="40763"/>
    <cellStyle name="20% - Accent3 11 26" xfId="18644"/>
    <cellStyle name="20% - Accent3 11 26 2" xfId="41419"/>
    <cellStyle name="20% - Accent3 11 27" xfId="19300"/>
    <cellStyle name="20% - Accent3 11 27 2" xfId="42075"/>
    <cellStyle name="20% - Accent3 11 28" xfId="19956"/>
    <cellStyle name="20% - Accent3 11 28 2" xfId="42731"/>
    <cellStyle name="20% - Accent3 11 29" xfId="20612"/>
    <cellStyle name="20% - Accent3 11 29 2" xfId="43387"/>
    <cellStyle name="20% - Accent3 11 3" xfId="1916"/>
    <cellStyle name="20% - Accent3 11 3 2" xfId="4212"/>
    <cellStyle name="20% - Accent3 11 3 2 2" xfId="26987"/>
    <cellStyle name="20% - Accent3 11 3 3" xfId="24691"/>
    <cellStyle name="20% - Accent3 11 30" xfId="21268"/>
    <cellStyle name="20% - Accent3 11 30 2" xfId="44043"/>
    <cellStyle name="20% - Accent3 11 31" xfId="21924"/>
    <cellStyle name="20% - Accent3 11 31 2" xfId="44699"/>
    <cellStyle name="20% - Accent3 11 32" xfId="22580"/>
    <cellStyle name="20% - Accent3 11 32 2" xfId="45355"/>
    <cellStyle name="20% - Accent3 11 33" xfId="23379"/>
    <cellStyle name="20% - Accent3 11 4" xfId="4868"/>
    <cellStyle name="20% - Accent3 11 4 2" xfId="27643"/>
    <cellStyle name="20% - Accent3 11 5" xfId="5524"/>
    <cellStyle name="20% - Accent3 11 5 2" xfId="28299"/>
    <cellStyle name="20% - Accent3 11 6" xfId="6180"/>
    <cellStyle name="20% - Accent3 11 6 2" xfId="28955"/>
    <cellStyle name="20% - Accent3 11 7" xfId="2900"/>
    <cellStyle name="20% - Accent3 11 7 2" xfId="25675"/>
    <cellStyle name="20% - Accent3 11 8" xfId="6836"/>
    <cellStyle name="20% - Accent3 11 8 2" xfId="29611"/>
    <cellStyle name="20% - Accent3 11 9" xfId="7492"/>
    <cellStyle name="20% - Accent3 11 9 2" xfId="30267"/>
    <cellStyle name="20% - Accent3 12" xfId="277"/>
    <cellStyle name="20% - Accent3 12 2" xfId="2572"/>
    <cellStyle name="20% - Accent3 12 2 2" xfId="25347"/>
    <cellStyle name="20% - Accent3 12 3" xfId="23051"/>
    <cellStyle name="20% - Accent3 13" xfId="932"/>
    <cellStyle name="20% - Accent3 13 2" xfId="3228"/>
    <cellStyle name="20% - Accent3 13 2 2" xfId="26003"/>
    <cellStyle name="20% - Accent3 13 3" xfId="23707"/>
    <cellStyle name="20% - Accent3 14" xfId="1588"/>
    <cellStyle name="20% - Accent3 14 2" xfId="3884"/>
    <cellStyle name="20% - Accent3 14 2 2" xfId="26659"/>
    <cellStyle name="20% - Accent3 14 3" xfId="24363"/>
    <cellStyle name="20% - Accent3 15" xfId="4540"/>
    <cellStyle name="20% - Accent3 15 2" xfId="27315"/>
    <cellStyle name="20% - Accent3 16" xfId="5196"/>
    <cellStyle name="20% - Accent3 16 2" xfId="27971"/>
    <cellStyle name="20% - Accent3 17" xfId="5852"/>
    <cellStyle name="20% - Accent3 17 2" xfId="28627"/>
    <cellStyle name="20% - Accent3 18" xfId="2244"/>
    <cellStyle name="20% - Accent3 18 2" xfId="25019"/>
    <cellStyle name="20% - Accent3 19" xfId="6508"/>
    <cellStyle name="20% - Accent3 19 2" xfId="29283"/>
    <cellStyle name="20% - Accent3 2" xfId="72"/>
    <cellStyle name="20% - Accent3 2 10" xfId="5868"/>
    <cellStyle name="20% - Accent3 2 10 2" xfId="28643"/>
    <cellStyle name="20% - Accent3 2 11" xfId="2260"/>
    <cellStyle name="20% - Accent3 2 11 2" xfId="25035"/>
    <cellStyle name="20% - Accent3 2 12" xfId="6524"/>
    <cellStyle name="20% - Accent3 2 12 2" xfId="29299"/>
    <cellStyle name="20% - Accent3 2 13" xfId="7180"/>
    <cellStyle name="20% - Accent3 2 13 2" xfId="29955"/>
    <cellStyle name="20% - Accent3 2 14" xfId="7836"/>
    <cellStyle name="20% - Accent3 2 14 2" xfId="30611"/>
    <cellStyle name="20% - Accent3 2 15" xfId="8492"/>
    <cellStyle name="20% - Accent3 2 15 2" xfId="31267"/>
    <cellStyle name="20% - Accent3 2 16" xfId="9148"/>
    <cellStyle name="20% - Accent3 2 16 2" xfId="31923"/>
    <cellStyle name="20% - Accent3 2 17" xfId="9804"/>
    <cellStyle name="20% - Accent3 2 17 2" xfId="32579"/>
    <cellStyle name="20% - Accent3 2 18" xfId="10460"/>
    <cellStyle name="20% - Accent3 2 18 2" xfId="33235"/>
    <cellStyle name="20% - Accent3 2 19" xfId="11116"/>
    <cellStyle name="20% - Accent3 2 19 2" xfId="33891"/>
    <cellStyle name="20% - Accent3 2 2" xfId="148"/>
    <cellStyle name="20% - Accent3 2 2 10" xfId="2346"/>
    <cellStyle name="20% - Accent3 2 2 10 2" xfId="25121"/>
    <cellStyle name="20% - Accent3 2 2 11" xfId="6610"/>
    <cellStyle name="20% - Accent3 2 2 11 2" xfId="29385"/>
    <cellStyle name="20% - Accent3 2 2 12" xfId="7266"/>
    <cellStyle name="20% - Accent3 2 2 12 2" xfId="30041"/>
    <cellStyle name="20% - Accent3 2 2 13" xfId="7922"/>
    <cellStyle name="20% - Accent3 2 2 13 2" xfId="30697"/>
    <cellStyle name="20% - Accent3 2 2 14" xfId="8578"/>
    <cellStyle name="20% - Accent3 2 2 14 2" xfId="31353"/>
    <cellStyle name="20% - Accent3 2 2 15" xfId="9234"/>
    <cellStyle name="20% - Accent3 2 2 15 2" xfId="32009"/>
    <cellStyle name="20% - Accent3 2 2 16" xfId="9890"/>
    <cellStyle name="20% - Accent3 2 2 16 2" xfId="32665"/>
    <cellStyle name="20% - Accent3 2 2 17" xfId="10546"/>
    <cellStyle name="20% - Accent3 2 2 17 2" xfId="33321"/>
    <cellStyle name="20% - Accent3 2 2 18" xfId="11202"/>
    <cellStyle name="20% - Accent3 2 2 18 2" xfId="33977"/>
    <cellStyle name="20% - Accent3 2 2 19" xfId="11858"/>
    <cellStyle name="20% - Accent3 2 2 19 2" xfId="34633"/>
    <cellStyle name="20% - Accent3 2 2 2" xfId="562"/>
    <cellStyle name="20% - Accent3 2 2 2 10" xfId="6795"/>
    <cellStyle name="20% - Accent3 2 2 2 10 2" xfId="29570"/>
    <cellStyle name="20% - Accent3 2 2 2 11" xfId="7451"/>
    <cellStyle name="20% - Accent3 2 2 2 11 2" xfId="30226"/>
    <cellStyle name="20% - Accent3 2 2 2 12" xfId="8107"/>
    <cellStyle name="20% - Accent3 2 2 2 12 2" xfId="30882"/>
    <cellStyle name="20% - Accent3 2 2 2 13" xfId="8763"/>
    <cellStyle name="20% - Accent3 2 2 2 13 2" xfId="31538"/>
    <cellStyle name="20% - Accent3 2 2 2 14" xfId="9419"/>
    <cellStyle name="20% - Accent3 2 2 2 14 2" xfId="32194"/>
    <cellStyle name="20% - Accent3 2 2 2 15" xfId="10075"/>
    <cellStyle name="20% - Accent3 2 2 2 15 2" xfId="32850"/>
    <cellStyle name="20% - Accent3 2 2 2 16" xfId="10731"/>
    <cellStyle name="20% - Accent3 2 2 2 16 2" xfId="33506"/>
    <cellStyle name="20% - Accent3 2 2 2 17" xfId="11387"/>
    <cellStyle name="20% - Accent3 2 2 2 17 2" xfId="34162"/>
    <cellStyle name="20% - Accent3 2 2 2 18" xfId="12043"/>
    <cellStyle name="20% - Accent3 2 2 2 18 2" xfId="34818"/>
    <cellStyle name="20% - Accent3 2 2 2 19" xfId="12699"/>
    <cellStyle name="20% - Accent3 2 2 2 19 2" xfId="35474"/>
    <cellStyle name="20% - Accent3 2 2 2 2" xfId="891"/>
    <cellStyle name="20% - Accent3 2 2 2 2 10" xfId="8435"/>
    <cellStyle name="20% - Accent3 2 2 2 2 10 2" xfId="31210"/>
    <cellStyle name="20% - Accent3 2 2 2 2 11" xfId="9091"/>
    <cellStyle name="20% - Accent3 2 2 2 2 11 2" xfId="31866"/>
    <cellStyle name="20% - Accent3 2 2 2 2 12" xfId="9747"/>
    <cellStyle name="20% - Accent3 2 2 2 2 12 2" xfId="32522"/>
    <cellStyle name="20% - Accent3 2 2 2 2 13" xfId="10403"/>
    <cellStyle name="20% - Accent3 2 2 2 2 13 2" xfId="33178"/>
    <cellStyle name="20% - Accent3 2 2 2 2 14" xfId="11059"/>
    <cellStyle name="20% - Accent3 2 2 2 2 14 2" xfId="33834"/>
    <cellStyle name="20% - Accent3 2 2 2 2 15" xfId="11715"/>
    <cellStyle name="20% - Accent3 2 2 2 2 15 2" xfId="34490"/>
    <cellStyle name="20% - Accent3 2 2 2 2 16" xfId="12371"/>
    <cellStyle name="20% - Accent3 2 2 2 2 16 2" xfId="35146"/>
    <cellStyle name="20% - Accent3 2 2 2 2 17" xfId="13027"/>
    <cellStyle name="20% - Accent3 2 2 2 2 17 2" xfId="35802"/>
    <cellStyle name="20% - Accent3 2 2 2 2 18" xfId="13683"/>
    <cellStyle name="20% - Accent3 2 2 2 2 18 2" xfId="36458"/>
    <cellStyle name="20% - Accent3 2 2 2 2 19" xfId="14339"/>
    <cellStyle name="20% - Accent3 2 2 2 2 19 2" xfId="37114"/>
    <cellStyle name="20% - Accent3 2 2 2 2 2" xfId="1547"/>
    <cellStyle name="20% - Accent3 2 2 2 2 2 2" xfId="3843"/>
    <cellStyle name="20% - Accent3 2 2 2 2 2 2 2" xfId="26618"/>
    <cellStyle name="20% - Accent3 2 2 2 2 2 3" xfId="24322"/>
    <cellStyle name="20% - Accent3 2 2 2 2 20" xfId="14995"/>
    <cellStyle name="20% - Accent3 2 2 2 2 20 2" xfId="37770"/>
    <cellStyle name="20% - Accent3 2 2 2 2 21" xfId="15651"/>
    <cellStyle name="20% - Accent3 2 2 2 2 21 2" xfId="38426"/>
    <cellStyle name="20% - Accent3 2 2 2 2 22" xfId="16307"/>
    <cellStyle name="20% - Accent3 2 2 2 2 22 2" xfId="39082"/>
    <cellStyle name="20% - Accent3 2 2 2 2 23" xfId="16963"/>
    <cellStyle name="20% - Accent3 2 2 2 2 23 2" xfId="39738"/>
    <cellStyle name="20% - Accent3 2 2 2 2 24" xfId="17619"/>
    <cellStyle name="20% - Accent3 2 2 2 2 24 2" xfId="40394"/>
    <cellStyle name="20% - Accent3 2 2 2 2 25" xfId="18275"/>
    <cellStyle name="20% - Accent3 2 2 2 2 25 2" xfId="41050"/>
    <cellStyle name="20% - Accent3 2 2 2 2 26" xfId="18931"/>
    <cellStyle name="20% - Accent3 2 2 2 2 26 2" xfId="41706"/>
    <cellStyle name="20% - Accent3 2 2 2 2 27" xfId="19587"/>
    <cellStyle name="20% - Accent3 2 2 2 2 27 2" xfId="42362"/>
    <cellStyle name="20% - Accent3 2 2 2 2 28" xfId="20243"/>
    <cellStyle name="20% - Accent3 2 2 2 2 28 2" xfId="43018"/>
    <cellStyle name="20% - Accent3 2 2 2 2 29" xfId="20899"/>
    <cellStyle name="20% - Accent3 2 2 2 2 29 2" xfId="43674"/>
    <cellStyle name="20% - Accent3 2 2 2 2 3" xfId="2203"/>
    <cellStyle name="20% - Accent3 2 2 2 2 3 2" xfId="4499"/>
    <cellStyle name="20% - Accent3 2 2 2 2 3 2 2" xfId="27274"/>
    <cellStyle name="20% - Accent3 2 2 2 2 3 3" xfId="24978"/>
    <cellStyle name="20% - Accent3 2 2 2 2 30" xfId="21555"/>
    <cellStyle name="20% - Accent3 2 2 2 2 30 2" xfId="44330"/>
    <cellStyle name="20% - Accent3 2 2 2 2 31" xfId="22211"/>
    <cellStyle name="20% - Accent3 2 2 2 2 31 2" xfId="44986"/>
    <cellStyle name="20% - Accent3 2 2 2 2 32" xfId="22867"/>
    <cellStyle name="20% - Accent3 2 2 2 2 32 2" xfId="45642"/>
    <cellStyle name="20% - Accent3 2 2 2 2 33" xfId="23666"/>
    <cellStyle name="20% - Accent3 2 2 2 2 4" xfId="5155"/>
    <cellStyle name="20% - Accent3 2 2 2 2 4 2" xfId="27930"/>
    <cellStyle name="20% - Accent3 2 2 2 2 5" xfId="5811"/>
    <cellStyle name="20% - Accent3 2 2 2 2 5 2" xfId="28586"/>
    <cellStyle name="20% - Accent3 2 2 2 2 6" xfId="6467"/>
    <cellStyle name="20% - Accent3 2 2 2 2 6 2" xfId="29242"/>
    <cellStyle name="20% - Accent3 2 2 2 2 7" xfId="3187"/>
    <cellStyle name="20% - Accent3 2 2 2 2 7 2" xfId="25962"/>
    <cellStyle name="20% - Accent3 2 2 2 2 8" xfId="7123"/>
    <cellStyle name="20% - Accent3 2 2 2 2 8 2" xfId="29898"/>
    <cellStyle name="20% - Accent3 2 2 2 2 9" xfId="7779"/>
    <cellStyle name="20% - Accent3 2 2 2 2 9 2" xfId="30554"/>
    <cellStyle name="20% - Accent3 2 2 2 20" xfId="13355"/>
    <cellStyle name="20% - Accent3 2 2 2 20 2" xfId="36130"/>
    <cellStyle name="20% - Accent3 2 2 2 21" xfId="14011"/>
    <cellStyle name="20% - Accent3 2 2 2 21 2" xfId="36786"/>
    <cellStyle name="20% - Accent3 2 2 2 22" xfId="14667"/>
    <cellStyle name="20% - Accent3 2 2 2 22 2" xfId="37442"/>
    <cellStyle name="20% - Accent3 2 2 2 23" xfId="15323"/>
    <cellStyle name="20% - Accent3 2 2 2 23 2" xfId="38098"/>
    <cellStyle name="20% - Accent3 2 2 2 24" xfId="15979"/>
    <cellStyle name="20% - Accent3 2 2 2 24 2" xfId="38754"/>
    <cellStyle name="20% - Accent3 2 2 2 25" xfId="16635"/>
    <cellStyle name="20% - Accent3 2 2 2 25 2" xfId="39410"/>
    <cellStyle name="20% - Accent3 2 2 2 26" xfId="17291"/>
    <cellStyle name="20% - Accent3 2 2 2 26 2" xfId="40066"/>
    <cellStyle name="20% - Accent3 2 2 2 27" xfId="17947"/>
    <cellStyle name="20% - Accent3 2 2 2 27 2" xfId="40722"/>
    <cellStyle name="20% - Accent3 2 2 2 28" xfId="18603"/>
    <cellStyle name="20% - Accent3 2 2 2 28 2" xfId="41378"/>
    <cellStyle name="20% - Accent3 2 2 2 29" xfId="19259"/>
    <cellStyle name="20% - Accent3 2 2 2 29 2" xfId="42034"/>
    <cellStyle name="20% - Accent3 2 2 2 3" xfId="1219"/>
    <cellStyle name="20% - Accent3 2 2 2 3 2" xfId="2859"/>
    <cellStyle name="20% - Accent3 2 2 2 3 2 2" xfId="25634"/>
    <cellStyle name="20% - Accent3 2 2 2 3 3" xfId="23994"/>
    <cellStyle name="20% - Accent3 2 2 2 30" xfId="19915"/>
    <cellStyle name="20% - Accent3 2 2 2 30 2" xfId="42690"/>
    <cellStyle name="20% - Accent3 2 2 2 31" xfId="20571"/>
    <cellStyle name="20% - Accent3 2 2 2 31 2" xfId="43346"/>
    <cellStyle name="20% - Accent3 2 2 2 32" xfId="21227"/>
    <cellStyle name="20% - Accent3 2 2 2 32 2" xfId="44002"/>
    <cellStyle name="20% - Accent3 2 2 2 33" xfId="21883"/>
    <cellStyle name="20% - Accent3 2 2 2 33 2" xfId="44658"/>
    <cellStyle name="20% - Accent3 2 2 2 34" xfId="22539"/>
    <cellStyle name="20% - Accent3 2 2 2 34 2" xfId="45314"/>
    <cellStyle name="20% - Accent3 2 2 2 35" xfId="23338"/>
    <cellStyle name="20% - Accent3 2 2 2 4" xfId="1875"/>
    <cellStyle name="20% - Accent3 2 2 2 4 2" xfId="3515"/>
    <cellStyle name="20% - Accent3 2 2 2 4 2 2" xfId="26290"/>
    <cellStyle name="20% - Accent3 2 2 2 4 3" xfId="24650"/>
    <cellStyle name="20% - Accent3 2 2 2 5" xfId="4171"/>
    <cellStyle name="20% - Accent3 2 2 2 5 2" xfId="26946"/>
    <cellStyle name="20% - Accent3 2 2 2 6" xfId="4827"/>
    <cellStyle name="20% - Accent3 2 2 2 6 2" xfId="27602"/>
    <cellStyle name="20% - Accent3 2 2 2 7" xfId="5483"/>
    <cellStyle name="20% - Accent3 2 2 2 7 2" xfId="28258"/>
    <cellStyle name="20% - Accent3 2 2 2 8" xfId="6139"/>
    <cellStyle name="20% - Accent3 2 2 2 8 2" xfId="28914"/>
    <cellStyle name="20% - Accent3 2 2 2 9" xfId="2531"/>
    <cellStyle name="20% - Accent3 2 2 2 9 2" xfId="25306"/>
    <cellStyle name="20% - Accent3 2 2 20" xfId="12514"/>
    <cellStyle name="20% - Accent3 2 2 20 2" xfId="35289"/>
    <cellStyle name="20% - Accent3 2 2 21" xfId="13170"/>
    <cellStyle name="20% - Accent3 2 2 21 2" xfId="35945"/>
    <cellStyle name="20% - Accent3 2 2 22" xfId="13826"/>
    <cellStyle name="20% - Accent3 2 2 22 2" xfId="36601"/>
    <cellStyle name="20% - Accent3 2 2 23" xfId="14482"/>
    <cellStyle name="20% - Accent3 2 2 23 2" xfId="37257"/>
    <cellStyle name="20% - Accent3 2 2 24" xfId="15138"/>
    <cellStyle name="20% - Accent3 2 2 24 2" xfId="37913"/>
    <cellStyle name="20% - Accent3 2 2 25" xfId="15794"/>
    <cellStyle name="20% - Accent3 2 2 25 2" xfId="38569"/>
    <cellStyle name="20% - Accent3 2 2 26" xfId="16450"/>
    <cellStyle name="20% - Accent3 2 2 26 2" xfId="39225"/>
    <cellStyle name="20% - Accent3 2 2 27" xfId="17106"/>
    <cellStyle name="20% - Accent3 2 2 27 2" xfId="39881"/>
    <cellStyle name="20% - Accent3 2 2 28" xfId="17762"/>
    <cellStyle name="20% - Accent3 2 2 28 2" xfId="40537"/>
    <cellStyle name="20% - Accent3 2 2 29" xfId="18418"/>
    <cellStyle name="20% - Accent3 2 2 29 2" xfId="41193"/>
    <cellStyle name="20% - Accent3 2 2 3" xfId="706"/>
    <cellStyle name="20% - Accent3 2 2 3 10" xfId="8250"/>
    <cellStyle name="20% - Accent3 2 2 3 10 2" xfId="31025"/>
    <cellStyle name="20% - Accent3 2 2 3 11" xfId="8906"/>
    <cellStyle name="20% - Accent3 2 2 3 11 2" xfId="31681"/>
    <cellStyle name="20% - Accent3 2 2 3 12" xfId="9562"/>
    <cellStyle name="20% - Accent3 2 2 3 12 2" xfId="32337"/>
    <cellStyle name="20% - Accent3 2 2 3 13" xfId="10218"/>
    <cellStyle name="20% - Accent3 2 2 3 13 2" xfId="32993"/>
    <cellStyle name="20% - Accent3 2 2 3 14" xfId="10874"/>
    <cellStyle name="20% - Accent3 2 2 3 14 2" xfId="33649"/>
    <cellStyle name="20% - Accent3 2 2 3 15" xfId="11530"/>
    <cellStyle name="20% - Accent3 2 2 3 15 2" xfId="34305"/>
    <cellStyle name="20% - Accent3 2 2 3 16" xfId="12186"/>
    <cellStyle name="20% - Accent3 2 2 3 16 2" xfId="34961"/>
    <cellStyle name="20% - Accent3 2 2 3 17" xfId="12842"/>
    <cellStyle name="20% - Accent3 2 2 3 17 2" xfId="35617"/>
    <cellStyle name="20% - Accent3 2 2 3 18" xfId="13498"/>
    <cellStyle name="20% - Accent3 2 2 3 18 2" xfId="36273"/>
    <cellStyle name="20% - Accent3 2 2 3 19" xfId="14154"/>
    <cellStyle name="20% - Accent3 2 2 3 19 2" xfId="36929"/>
    <cellStyle name="20% - Accent3 2 2 3 2" xfId="1362"/>
    <cellStyle name="20% - Accent3 2 2 3 2 2" xfId="3658"/>
    <cellStyle name="20% - Accent3 2 2 3 2 2 2" xfId="26433"/>
    <cellStyle name="20% - Accent3 2 2 3 2 3" xfId="24137"/>
    <cellStyle name="20% - Accent3 2 2 3 20" xfId="14810"/>
    <cellStyle name="20% - Accent3 2 2 3 20 2" xfId="37585"/>
    <cellStyle name="20% - Accent3 2 2 3 21" xfId="15466"/>
    <cellStyle name="20% - Accent3 2 2 3 21 2" xfId="38241"/>
    <cellStyle name="20% - Accent3 2 2 3 22" xfId="16122"/>
    <cellStyle name="20% - Accent3 2 2 3 22 2" xfId="38897"/>
    <cellStyle name="20% - Accent3 2 2 3 23" xfId="16778"/>
    <cellStyle name="20% - Accent3 2 2 3 23 2" xfId="39553"/>
    <cellStyle name="20% - Accent3 2 2 3 24" xfId="17434"/>
    <cellStyle name="20% - Accent3 2 2 3 24 2" xfId="40209"/>
    <cellStyle name="20% - Accent3 2 2 3 25" xfId="18090"/>
    <cellStyle name="20% - Accent3 2 2 3 25 2" xfId="40865"/>
    <cellStyle name="20% - Accent3 2 2 3 26" xfId="18746"/>
    <cellStyle name="20% - Accent3 2 2 3 26 2" xfId="41521"/>
    <cellStyle name="20% - Accent3 2 2 3 27" xfId="19402"/>
    <cellStyle name="20% - Accent3 2 2 3 27 2" xfId="42177"/>
    <cellStyle name="20% - Accent3 2 2 3 28" xfId="20058"/>
    <cellStyle name="20% - Accent3 2 2 3 28 2" xfId="42833"/>
    <cellStyle name="20% - Accent3 2 2 3 29" xfId="20714"/>
    <cellStyle name="20% - Accent3 2 2 3 29 2" xfId="43489"/>
    <cellStyle name="20% - Accent3 2 2 3 3" xfId="2018"/>
    <cellStyle name="20% - Accent3 2 2 3 3 2" xfId="4314"/>
    <cellStyle name="20% - Accent3 2 2 3 3 2 2" xfId="27089"/>
    <cellStyle name="20% - Accent3 2 2 3 3 3" xfId="24793"/>
    <cellStyle name="20% - Accent3 2 2 3 30" xfId="21370"/>
    <cellStyle name="20% - Accent3 2 2 3 30 2" xfId="44145"/>
    <cellStyle name="20% - Accent3 2 2 3 31" xfId="22026"/>
    <cellStyle name="20% - Accent3 2 2 3 31 2" xfId="44801"/>
    <cellStyle name="20% - Accent3 2 2 3 32" xfId="22682"/>
    <cellStyle name="20% - Accent3 2 2 3 32 2" xfId="45457"/>
    <cellStyle name="20% - Accent3 2 2 3 33" xfId="23481"/>
    <cellStyle name="20% - Accent3 2 2 3 4" xfId="4970"/>
    <cellStyle name="20% - Accent3 2 2 3 4 2" xfId="27745"/>
    <cellStyle name="20% - Accent3 2 2 3 5" xfId="5626"/>
    <cellStyle name="20% - Accent3 2 2 3 5 2" xfId="28401"/>
    <cellStyle name="20% - Accent3 2 2 3 6" xfId="6282"/>
    <cellStyle name="20% - Accent3 2 2 3 6 2" xfId="29057"/>
    <cellStyle name="20% - Accent3 2 2 3 7" xfId="3002"/>
    <cellStyle name="20% - Accent3 2 2 3 7 2" xfId="25777"/>
    <cellStyle name="20% - Accent3 2 2 3 8" xfId="6938"/>
    <cellStyle name="20% - Accent3 2 2 3 8 2" xfId="29713"/>
    <cellStyle name="20% - Accent3 2 2 3 9" xfId="7594"/>
    <cellStyle name="20% - Accent3 2 2 3 9 2" xfId="30369"/>
    <cellStyle name="20% - Accent3 2 2 30" xfId="19074"/>
    <cellStyle name="20% - Accent3 2 2 30 2" xfId="41849"/>
    <cellStyle name="20% - Accent3 2 2 31" xfId="19730"/>
    <cellStyle name="20% - Accent3 2 2 31 2" xfId="42505"/>
    <cellStyle name="20% - Accent3 2 2 32" xfId="20386"/>
    <cellStyle name="20% - Accent3 2 2 32 2" xfId="43161"/>
    <cellStyle name="20% - Accent3 2 2 33" xfId="21042"/>
    <cellStyle name="20% - Accent3 2 2 33 2" xfId="43817"/>
    <cellStyle name="20% - Accent3 2 2 34" xfId="21698"/>
    <cellStyle name="20% - Accent3 2 2 34 2" xfId="44473"/>
    <cellStyle name="20% - Accent3 2 2 35" xfId="22354"/>
    <cellStyle name="20% - Accent3 2 2 35 2" xfId="45129"/>
    <cellStyle name="20% - Accent3 2 2 36" xfId="23010"/>
    <cellStyle name="20% - Accent3 2 2 4" xfId="379"/>
    <cellStyle name="20% - Accent3 2 2 4 2" xfId="2674"/>
    <cellStyle name="20% - Accent3 2 2 4 2 2" xfId="25449"/>
    <cellStyle name="20% - Accent3 2 2 4 3" xfId="23153"/>
    <cellStyle name="20% - Accent3 2 2 5" xfId="1034"/>
    <cellStyle name="20% - Accent3 2 2 5 2" xfId="3330"/>
    <cellStyle name="20% - Accent3 2 2 5 2 2" xfId="26105"/>
    <cellStyle name="20% - Accent3 2 2 5 3" xfId="23809"/>
    <cellStyle name="20% - Accent3 2 2 6" xfId="1690"/>
    <cellStyle name="20% - Accent3 2 2 6 2" xfId="3986"/>
    <cellStyle name="20% - Accent3 2 2 6 2 2" xfId="26761"/>
    <cellStyle name="20% - Accent3 2 2 6 3" xfId="24465"/>
    <cellStyle name="20% - Accent3 2 2 7" xfId="4642"/>
    <cellStyle name="20% - Accent3 2 2 7 2" xfId="27417"/>
    <cellStyle name="20% - Accent3 2 2 8" xfId="5298"/>
    <cellStyle name="20% - Accent3 2 2 8 2" xfId="28073"/>
    <cellStyle name="20% - Accent3 2 2 9" xfId="5954"/>
    <cellStyle name="20% - Accent3 2 2 9 2" xfId="28729"/>
    <cellStyle name="20% - Accent3 2 20" xfId="11772"/>
    <cellStyle name="20% - Accent3 2 20 2" xfId="34547"/>
    <cellStyle name="20% - Accent3 2 21" xfId="12428"/>
    <cellStyle name="20% - Accent3 2 21 2" xfId="35203"/>
    <cellStyle name="20% - Accent3 2 22" xfId="13084"/>
    <cellStyle name="20% - Accent3 2 22 2" xfId="35859"/>
    <cellStyle name="20% - Accent3 2 23" xfId="13740"/>
    <cellStyle name="20% - Accent3 2 23 2" xfId="36515"/>
    <cellStyle name="20% - Accent3 2 24" xfId="14396"/>
    <cellStyle name="20% - Accent3 2 24 2" xfId="37171"/>
    <cellStyle name="20% - Accent3 2 25" xfId="15052"/>
    <cellStyle name="20% - Accent3 2 25 2" xfId="37827"/>
    <cellStyle name="20% - Accent3 2 26" xfId="15708"/>
    <cellStyle name="20% - Accent3 2 26 2" xfId="38483"/>
    <cellStyle name="20% - Accent3 2 27" xfId="16364"/>
    <cellStyle name="20% - Accent3 2 27 2" xfId="39139"/>
    <cellStyle name="20% - Accent3 2 28" xfId="17020"/>
    <cellStyle name="20% - Accent3 2 28 2" xfId="39795"/>
    <cellStyle name="20% - Accent3 2 29" xfId="17676"/>
    <cellStyle name="20% - Accent3 2 29 2" xfId="40451"/>
    <cellStyle name="20% - Accent3 2 3" xfId="478"/>
    <cellStyle name="20% - Accent3 2 3 10" xfId="6709"/>
    <cellStyle name="20% - Accent3 2 3 10 2" xfId="29484"/>
    <cellStyle name="20% - Accent3 2 3 11" xfId="7365"/>
    <cellStyle name="20% - Accent3 2 3 11 2" xfId="30140"/>
    <cellStyle name="20% - Accent3 2 3 12" xfId="8021"/>
    <cellStyle name="20% - Accent3 2 3 12 2" xfId="30796"/>
    <cellStyle name="20% - Accent3 2 3 13" xfId="8677"/>
    <cellStyle name="20% - Accent3 2 3 13 2" xfId="31452"/>
    <cellStyle name="20% - Accent3 2 3 14" xfId="9333"/>
    <cellStyle name="20% - Accent3 2 3 14 2" xfId="32108"/>
    <cellStyle name="20% - Accent3 2 3 15" xfId="9989"/>
    <cellStyle name="20% - Accent3 2 3 15 2" xfId="32764"/>
    <cellStyle name="20% - Accent3 2 3 16" xfId="10645"/>
    <cellStyle name="20% - Accent3 2 3 16 2" xfId="33420"/>
    <cellStyle name="20% - Accent3 2 3 17" xfId="11301"/>
    <cellStyle name="20% - Accent3 2 3 17 2" xfId="34076"/>
    <cellStyle name="20% - Accent3 2 3 18" xfId="11957"/>
    <cellStyle name="20% - Accent3 2 3 18 2" xfId="34732"/>
    <cellStyle name="20% - Accent3 2 3 19" xfId="12613"/>
    <cellStyle name="20% - Accent3 2 3 19 2" xfId="35388"/>
    <cellStyle name="20% - Accent3 2 3 2" xfId="805"/>
    <cellStyle name="20% - Accent3 2 3 2 10" xfId="8349"/>
    <cellStyle name="20% - Accent3 2 3 2 10 2" xfId="31124"/>
    <cellStyle name="20% - Accent3 2 3 2 11" xfId="9005"/>
    <cellStyle name="20% - Accent3 2 3 2 11 2" xfId="31780"/>
    <cellStyle name="20% - Accent3 2 3 2 12" xfId="9661"/>
    <cellStyle name="20% - Accent3 2 3 2 12 2" xfId="32436"/>
    <cellStyle name="20% - Accent3 2 3 2 13" xfId="10317"/>
    <cellStyle name="20% - Accent3 2 3 2 13 2" xfId="33092"/>
    <cellStyle name="20% - Accent3 2 3 2 14" xfId="10973"/>
    <cellStyle name="20% - Accent3 2 3 2 14 2" xfId="33748"/>
    <cellStyle name="20% - Accent3 2 3 2 15" xfId="11629"/>
    <cellStyle name="20% - Accent3 2 3 2 15 2" xfId="34404"/>
    <cellStyle name="20% - Accent3 2 3 2 16" xfId="12285"/>
    <cellStyle name="20% - Accent3 2 3 2 16 2" xfId="35060"/>
    <cellStyle name="20% - Accent3 2 3 2 17" xfId="12941"/>
    <cellStyle name="20% - Accent3 2 3 2 17 2" xfId="35716"/>
    <cellStyle name="20% - Accent3 2 3 2 18" xfId="13597"/>
    <cellStyle name="20% - Accent3 2 3 2 18 2" xfId="36372"/>
    <cellStyle name="20% - Accent3 2 3 2 19" xfId="14253"/>
    <cellStyle name="20% - Accent3 2 3 2 19 2" xfId="37028"/>
    <cellStyle name="20% - Accent3 2 3 2 2" xfId="1461"/>
    <cellStyle name="20% - Accent3 2 3 2 2 2" xfId="3757"/>
    <cellStyle name="20% - Accent3 2 3 2 2 2 2" xfId="26532"/>
    <cellStyle name="20% - Accent3 2 3 2 2 3" xfId="24236"/>
    <cellStyle name="20% - Accent3 2 3 2 20" xfId="14909"/>
    <cellStyle name="20% - Accent3 2 3 2 20 2" xfId="37684"/>
    <cellStyle name="20% - Accent3 2 3 2 21" xfId="15565"/>
    <cellStyle name="20% - Accent3 2 3 2 21 2" xfId="38340"/>
    <cellStyle name="20% - Accent3 2 3 2 22" xfId="16221"/>
    <cellStyle name="20% - Accent3 2 3 2 22 2" xfId="38996"/>
    <cellStyle name="20% - Accent3 2 3 2 23" xfId="16877"/>
    <cellStyle name="20% - Accent3 2 3 2 23 2" xfId="39652"/>
    <cellStyle name="20% - Accent3 2 3 2 24" xfId="17533"/>
    <cellStyle name="20% - Accent3 2 3 2 24 2" xfId="40308"/>
    <cellStyle name="20% - Accent3 2 3 2 25" xfId="18189"/>
    <cellStyle name="20% - Accent3 2 3 2 25 2" xfId="40964"/>
    <cellStyle name="20% - Accent3 2 3 2 26" xfId="18845"/>
    <cellStyle name="20% - Accent3 2 3 2 26 2" xfId="41620"/>
    <cellStyle name="20% - Accent3 2 3 2 27" xfId="19501"/>
    <cellStyle name="20% - Accent3 2 3 2 27 2" xfId="42276"/>
    <cellStyle name="20% - Accent3 2 3 2 28" xfId="20157"/>
    <cellStyle name="20% - Accent3 2 3 2 28 2" xfId="42932"/>
    <cellStyle name="20% - Accent3 2 3 2 29" xfId="20813"/>
    <cellStyle name="20% - Accent3 2 3 2 29 2" xfId="43588"/>
    <cellStyle name="20% - Accent3 2 3 2 3" xfId="2117"/>
    <cellStyle name="20% - Accent3 2 3 2 3 2" xfId="4413"/>
    <cellStyle name="20% - Accent3 2 3 2 3 2 2" xfId="27188"/>
    <cellStyle name="20% - Accent3 2 3 2 3 3" xfId="24892"/>
    <cellStyle name="20% - Accent3 2 3 2 30" xfId="21469"/>
    <cellStyle name="20% - Accent3 2 3 2 30 2" xfId="44244"/>
    <cellStyle name="20% - Accent3 2 3 2 31" xfId="22125"/>
    <cellStyle name="20% - Accent3 2 3 2 31 2" xfId="44900"/>
    <cellStyle name="20% - Accent3 2 3 2 32" xfId="22781"/>
    <cellStyle name="20% - Accent3 2 3 2 32 2" xfId="45556"/>
    <cellStyle name="20% - Accent3 2 3 2 33" xfId="23580"/>
    <cellStyle name="20% - Accent3 2 3 2 4" xfId="5069"/>
    <cellStyle name="20% - Accent3 2 3 2 4 2" xfId="27844"/>
    <cellStyle name="20% - Accent3 2 3 2 5" xfId="5725"/>
    <cellStyle name="20% - Accent3 2 3 2 5 2" xfId="28500"/>
    <cellStyle name="20% - Accent3 2 3 2 6" xfId="6381"/>
    <cellStyle name="20% - Accent3 2 3 2 6 2" xfId="29156"/>
    <cellStyle name="20% - Accent3 2 3 2 7" xfId="3101"/>
    <cellStyle name="20% - Accent3 2 3 2 7 2" xfId="25876"/>
    <cellStyle name="20% - Accent3 2 3 2 8" xfId="7037"/>
    <cellStyle name="20% - Accent3 2 3 2 8 2" xfId="29812"/>
    <cellStyle name="20% - Accent3 2 3 2 9" xfId="7693"/>
    <cellStyle name="20% - Accent3 2 3 2 9 2" xfId="30468"/>
    <cellStyle name="20% - Accent3 2 3 20" xfId="13269"/>
    <cellStyle name="20% - Accent3 2 3 20 2" xfId="36044"/>
    <cellStyle name="20% - Accent3 2 3 21" xfId="13925"/>
    <cellStyle name="20% - Accent3 2 3 21 2" xfId="36700"/>
    <cellStyle name="20% - Accent3 2 3 22" xfId="14581"/>
    <cellStyle name="20% - Accent3 2 3 22 2" xfId="37356"/>
    <cellStyle name="20% - Accent3 2 3 23" xfId="15237"/>
    <cellStyle name="20% - Accent3 2 3 23 2" xfId="38012"/>
    <cellStyle name="20% - Accent3 2 3 24" xfId="15893"/>
    <cellStyle name="20% - Accent3 2 3 24 2" xfId="38668"/>
    <cellStyle name="20% - Accent3 2 3 25" xfId="16549"/>
    <cellStyle name="20% - Accent3 2 3 25 2" xfId="39324"/>
    <cellStyle name="20% - Accent3 2 3 26" xfId="17205"/>
    <cellStyle name="20% - Accent3 2 3 26 2" xfId="39980"/>
    <cellStyle name="20% - Accent3 2 3 27" xfId="17861"/>
    <cellStyle name="20% - Accent3 2 3 27 2" xfId="40636"/>
    <cellStyle name="20% - Accent3 2 3 28" xfId="18517"/>
    <cellStyle name="20% - Accent3 2 3 28 2" xfId="41292"/>
    <cellStyle name="20% - Accent3 2 3 29" xfId="19173"/>
    <cellStyle name="20% - Accent3 2 3 29 2" xfId="41948"/>
    <cellStyle name="20% - Accent3 2 3 3" xfId="1133"/>
    <cellStyle name="20% - Accent3 2 3 3 2" xfId="2773"/>
    <cellStyle name="20% - Accent3 2 3 3 2 2" xfId="25548"/>
    <cellStyle name="20% - Accent3 2 3 3 3" xfId="23908"/>
    <cellStyle name="20% - Accent3 2 3 30" xfId="19829"/>
    <cellStyle name="20% - Accent3 2 3 30 2" xfId="42604"/>
    <cellStyle name="20% - Accent3 2 3 31" xfId="20485"/>
    <cellStyle name="20% - Accent3 2 3 31 2" xfId="43260"/>
    <cellStyle name="20% - Accent3 2 3 32" xfId="21141"/>
    <cellStyle name="20% - Accent3 2 3 32 2" xfId="43916"/>
    <cellStyle name="20% - Accent3 2 3 33" xfId="21797"/>
    <cellStyle name="20% - Accent3 2 3 33 2" xfId="44572"/>
    <cellStyle name="20% - Accent3 2 3 34" xfId="22453"/>
    <cellStyle name="20% - Accent3 2 3 34 2" xfId="45228"/>
    <cellStyle name="20% - Accent3 2 3 35" xfId="23252"/>
    <cellStyle name="20% - Accent3 2 3 4" xfId="1789"/>
    <cellStyle name="20% - Accent3 2 3 4 2" xfId="3429"/>
    <cellStyle name="20% - Accent3 2 3 4 2 2" xfId="26204"/>
    <cellStyle name="20% - Accent3 2 3 4 3" xfId="24564"/>
    <cellStyle name="20% - Accent3 2 3 5" xfId="4085"/>
    <cellStyle name="20% - Accent3 2 3 5 2" xfId="26860"/>
    <cellStyle name="20% - Accent3 2 3 6" xfId="4741"/>
    <cellStyle name="20% - Accent3 2 3 6 2" xfId="27516"/>
    <cellStyle name="20% - Accent3 2 3 7" xfId="5397"/>
    <cellStyle name="20% - Accent3 2 3 7 2" xfId="28172"/>
    <cellStyle name="20% - Accent3 2 3 8" xfId="6053"/>
    <cellStyle name="20% - Accent3 2 3 8 2" xfId="28828"/>
    <cellStyle name="20% - Accent3 2 3 9" xfId="2445"/>
    <cellStyle name="20% - Accent3 2 3 9 2" xfId="25220"/>
    <cellStyle name="20% - Accent3 2 30" xfId="18332"/>
    <cellStyle name="20% - Accent3 2 30 2" xfId="41107"/>
    <cellStyle name="20% - Accent3 2 31" xfId="18988"/>
    <cellStyle name="20% - Accent3 2 31 2" xfId="41763"/>
    <cellStyle name="20% - Accent3 2 32" xfId="19644"/>
    <cellStyle name="20% - Accent3 2 32 2" xfId="42419"/>
    <cellStyle name="20% - Accent3 2 33" xfId="20300"/>
    <cellStyle name="20% - Accent3 2 33 2" xfId="43075"/>
    <cellStyle name="20% - Accent3 2 34" xfId="20956"/>
    <cellStyle name="20% - Accent3 2 34 2" xfId="43731"/>
    <cellStyle name="20% - Accent3 2 35" xfId="21612"/>
    <cellStyle name="20% - Accent3 2 35 2" xfId="44387"/>
    <cellStyle name="20% - Accent3 2 36" xfId="22268"/>
    <cellStyle name="20% - Accent3 2 36 2" xfId="45043"/>
    <cellStyle name="20% - Accent3 2 37" xfId="207"/>
    <cellStyle name="20% - Accent3 2 38" xfId="22924"/>
    <cellStyle name="20% - Accent3 2 4" xfId="620"/>
    <cellStyle name="20% - Accent3 2 4 10" xfId="8164"/>
    <cellStyle name="20% - Accent3 2 4 10 2" xfId="30939"/>
    <cellStyle name="20% - Accent3 2 4 11" xfId="8820"/>
    <cellStyle name="20% - Accent3 2 4 11 2" xfId="31595"/>
    <cellStyle name="20% - Accent3 2 4 12" xfId="9476"/>
    <cellStyle name="20% - Accent3 2 4 12 2" xfId="32251"/>
    <cellStyle name="20% - Accent3 2 4 13" xfId="10132"/>
    <cellStyle name="20% - Accent3 2 4 13 2" xfId="32907"/>
    <cellStyle name="20% - Accent3 2 4 14" xfId="10788"/>
    <cellStyle name="20% - Accent3 2 4 14 2" xfId="33563"/>
    <cellStyle name="20% - Accent3 2 4 15" xfId="11444"/>
    <cellStyle name="20% - Accent3 2 4 15 2" xfId="34219"/>
    <cellStyle name="20% - Accent3 2 4 16" xfId="12100"/>
    <cellStyle name="20% - Accent3 2 4 16 2" xfId="34875"/>
    <cellStyle name="20% - Accent3 2 4 17" xfId="12756"/>
    <cellStyle name="20% - Accent3 2 4 17 2" xfId="35531"/>
    <cellStyle name="20% - Accent3 2 4 18" xfId="13412"/>
    <cellStyle name="20% - Accent3 2 4 18 2" xfId="36187"/>
    <cellStyle name="20% - Accent3 2 4 19" xfId="14068"/>
    <cellStyle name="20% - Accent3 2 4 19 2" xfId="36843"/>
    <cellStyle name="20% - Accent3 2 4 2" xfId="1276"/>
    <cellStyle name="20% - Accent3 2 4 2 2" xfId="3572"/>
    <cellStyle name="20% - Accent3 2 4 2 2 2" xfId="26347"/>
    <cellStyle name="20% - Accent3 2 4 2 3" xfId="24051"/>
    <cellStyle name="20% - Accent3 2 4 20" xfId="14724"/>
    <cellStyle name="20% - Accent3 2 4 20 2" xfId="37499"/>
    <cellStyle name="20% - Accent3 2 4 21" xfId="15380"/>
    <cellStyle name="20% - Accent3 2 4 21 2" xfId="38155"/>
    <cellStyle name="20% - Accent3 2 4 22" xfId="16036"/>
    <cellStyle name="20% - Accent3 2 4 22 2" xfId="38811"/>
    <cellStyle name="20% - Accent3 2 4 23" xfId="16692"/>
    <cellStyle name="20% - Accent3 2 4 23 2" xfId="39467"/>
    <cellStyle name="20% - Accent3 2 4 24" xfId="17348"/>
    <cellStyle name="20% - Accent3 2 4 24 2" xfId="40123"/>
    <cellStyle name="20% - Accent3 2 4 25" xfId="18004"/>
    <cellStyle name="20% - Accent3 2 4 25 2" xfId="40779"/>
    <cellStyle name="20% - Accent3 2 4 26" xfId="18660"/>
    <cellStyle name="20% - Accent3 2 4 26 2" xfId="41435"/>
    <cellStyle name="20% - Accent3 2 4 27" xfId="19316"/>
    <cellStyle name="20% - Accent3 2 4 27 2" xfId="42091"/>
    <cellStyle name="20% - Accent3 2 4 28" xfId="19972"/>
    <cellStyle name="20% - Accent3 2 4 28 2" xfId="42747"/>
    <cellStyle name="20% - Accent3 2 4 29" xfId="20628"/>
    <cellStyle name="20% - Accent3 2 4 29 2" xfId="43403"/>
    <cellStyle name="20% - Accent3 2 4 3" xfId="1932"/>
    <cellStyle name="20% - Accent3 2 4 3 2" xfId="4228"/>
    <cellStyle name="20% - Accent3 2 4 3 2 2" xfId="27003"/>
    <cellStyle name="20% - Accent3 2 4 3 3" xfId="24707"/>
    <cellStyle name="20% - Accent3 2 4 30" xfId="21284"/>
    <cellStyle name="20% - Accent3 2 4 30 2" xfId="44059"/>
    <cellStyle name="20% - Accent3 2 4 31" xfId="21940"/>
    <cellStyle name="20% - Accent3 2 4 31 2" xfId="44715"/>
    <cellStyle name="20% - Accent3 2 4 32" xfId="22596"/>
    <cellStyle name="20% - Accent3 2 4 32 2" xfId="45371"/>
    <cellStyle name="20% - Accent3 2 4 33" xfId="23395"/>
    <cellStyle name="20% - Accent3 2 4 4" xfId="4884"/>
    <cellStyle name="20% - Accent3 2 4 4 2" xfId="27659"/>
    <cellStyle name="20% - Accent3 2 4 5" xfId="5540"/>
    <cellStyle name="20% - Accent3 2 4 5 2" xfId="28315"/>
    <cellStyle name="20% - Accent3 2 4 6" xfId="6196"/>
    <cellStyle name="20% - Accent3 2 4 6 2" xfId="28971"/>
    <cellStyle name="20% - Accent3 2 4 7" xfId="2916"/>
    <cellStyle name="20% - Accent3 2 4 7 2" xfId="25691"/>
    <cellStyle name="20% - Accent3 2 4 8" xfId="6852"/>
    <cellStyle name="20% - Accent3 2 4 8 2" xfId="29627"/>
    <cellStyle name="20% - Accent3 2 4 9" xfId="7508"/>
    <cellStyle name="20% - Accent3 2 4 9 2" xfId="30283"/>
    <cellStyle name="20% - Accent3 2 5" xfId="293"/>
    <cellStyle name="20% - Accent3 2 5 2" xfId="2588"/>
    <cellStyle name="20% - Accent3 2 5 2 2" xfId="25363"/>
    <cellStyle name="20% - Accent3 2 5 3" xfId="23067"/>
    <cellStyle name="20% - Accent3 2 6" xfId="948"/>
    <cellStyle name="20% - Accent3 2 6 2" xfId="3244"/>
    <cellStyle name="20% - Accent3 2 6 2 2" xfId="26019"/>
    <cellStyle name="20% - Accent3 2 6 3" xfId="23723"/>
    <cellStyle name="20% - Accent3 2 7" xfId="1604"/>
    <cellStyle name="20% - Accent3 2 7 2" xfId="3900"/>
    <cellStyle name="20% - Accent3 2 7 2 2" xfId="26675"/>
    <cellStyle name="20% - Accent3 2 7 3" xfId="24379"/>
    <cellStyle name="20% - Accent3 2 8" xfId="4556"/>
    <cellStyle name="20% - Accent3 2 8 2" xfId="27331"/>
    <cellStyle name="20% - Accent3 2 9" xfId="5212"/>
    <cellStyle name="20% - Accent3 2 9 2" xfId="27987"/>
    <cellStyle name="20% - Accent3 20" xfId="7164"/>
    <cellStyle name="20% - Accent3 20 2" xfId="29939"/>
    <cellStyle name="20% - Accent3 21" xfId="7820"/>
    <cellStyle name="20% - Accent3 21 2" xfId="30595"/>
    <cellStyle name="20% - Accent3 22" xfId="8476"/>
    <cellStyle name="20% - Accent3 22 2" xfId="31251"/>
    <cellStyle name="20% - Accent3 23" xfId="9132"/>
    <cellStyle name="20% - Accent3 23 2" xfId="31907"/>
    <cellStyle name="20% - Accent3 24" xfId="9788"/>
    <cellStyle name="20% - Accent3 24 2" xfId="32563"/>
    <cellStyle name="20% - Accent3 25" xfId="10444"/>
    <cellStyle name="20% - Accent3 25 2" xfId="33219"/>
    <cellStyle name="20% - Accent3 26" xfId="11100"/>
    <cellStyle name="20% - Accent3 26 2" xfId="33875"/>
    <cellStyle name="20% - Accent3 27" xfId="11756"/>
    <cellStyle name="20% - Accent3 27 2" xfId="34531"/>
    <cellStyle name="20% - Accent3 28" xfId="12412"/>
    <cellStyle name="20% - Accent3 28 2" xfId="35187"/>
    <cellStyle name="20% - Accent3 29" xfId="13068"/>
    <cellStyle name="20% - Accent3 29 2" xfId="35843"/>
    <cellStyle name="20% - Accent3 3" xfId="56"/>
    <cellStyle name="20% - Accent3 3 10" xfId="5883"/>
    <cellStyle name="20% - Accent3 3 10 2" xfId="28658"/>
    <cellStyle name="20% - Accent3 3 11" xfId="2275"/>
    <cellStyle name="20% - Accent3 3 11 2" xfId="25050"/>
    <cellStyle name="20% - Accent3 3 12" xfId="6539"/>
    <cellStyle name="20% - Accent3 3 12 2" xfId="29314"/>
    <cellStyle name="20% - Accent3 3 13" xfId="7195"/>
    <cellStyle name="20% - Accent3 3 13 2" xfId="29970"/>
    <cellStyle name="20% - Accent3 3 14" xfId="7851"/>
    <cellStyle name="20% - Accent3 3 14 2" xfId="30626"/>
    <cellStyle name="20% - Accent3 3 15" xfId="8507"/>
    <cellStyle name="20% - Accent3 3 15 2" xfId="31282"/>
    <cellStyle name="20% - Accent3 3 16" xfId="9163"/>
    <cellStyle name="20% - Accent3 3 16 2" xfId="31938"/>
    <cellStyle name="20% - Accent3 3 17" xfId="9819"/>
    <cellStyle name="20% - Accent3 3 17 2" xfId="32594"/>
    <cellStyle name="20% - Accent3 3 18" xfId="10475"/>
    <cellStyle name="20% - Accent3 3 18 2" xfId="33250"/>
    <cellStyle name="20% - Accent3 3 19" xfId="11131"/>
    <cellStyle name="20% - Accent3 3 19 2" xfId="33906"/>
    <cellStyle name="20% - Accent3 3 2" xfId="134"/>
    <cellStyle name="20% - Accent3 3 2 10" xfId="2330"/>
    <cellStyle name="20% - Accent3 3 2 10 2" xfId="25105"/>
    <cellStyle name="20% - Accent3 3 2 11" xfId="6594"/>
    <cellStyle name="20% - Accent3 3 2 11 2" xfId="29369"/>
    <cellStyle name="20% - Accent3 3 2 12" xfId="7250"/>
    <cellStyle name="20% - Accent3 3 2 12 2" xfId="30025"/>
    <cellStyle name="20% - Accent3 3 2 13" xfId="7906"/>
    <cellStyle name="20% - Accent3 3 2 13 2" xfId="30681"/>
    <cellStyle name="20% - Accent3 3 2 14" xfId="8562"/>
    <cellStyle name="20% - Accent3 3 2 14 2" xfId="31337"/>
    <cellStyle name="20% - Accent3 3 2 15" xfId="9218"/>
    <cellStyle name="20% - Accent3 3 2 15 2" xfId="31993"/>
    <cellStyle name="20% - Accent3 3 2 16" xfId="9874"/>
    <cellStyle name="20% - Accent3 3 2 16 2" xfId="32649"/>
    <cellStyle name="20% - Accent3 3 2 17" xfId="10530"/>
    <cellStyle name="20% - Accent3 3 2 17 2" xfId="33305"/>
    <cellStyle name="20% - Accent3 3 2 18" xfId="11186"/>
    <cellStyle name="20% - Accent3 3 2 18 2" xfId="33961"/>
    <cellStyle name="20% - Accent3 3 2 19" xfId="11842"/>
    <cellStyle name="20% - Accent3 3 2 19 2" xfId="34617"/>
    <cellStyle name="20% - Accent3 3 2 2" xfId="546"/>
    <cellStyle name="20% - Accent3 3 2 2 10" xfId="6779"/>
    <cellStyle name="20% - Accent3 3 2 2 10 2" xfId="29554"/>
    <cellStyle name="20% - Accent3 3 2 2 11" xfId="7435"/>
    <cellStyle name="20% - Accent3 3 2 2 11 2" xfId="30210"/>
    <cellStyle name="20% - Accent3 3 2 2 12" xfId="8091"/>
    <cellStyle name="20% - Accent3 3 2 2 12 2" xfId="30866"/>
    <cellStyle name="20% - Accent3 3 2 2 13" xfId="8747"/>
    <cellStyle name="20% - Accent3 3 2 2 13 2" xfId="31522"/>
    <cellStyle name="20% - Accent3 3 2 2 14" xfId="9403"/>
    <cellStyle name="20% - Accent3 3 2 2 14 2" xfId="32178"/>
    <cellStyle name="20% - Accent3 3 2 2 15" xfId="10059"/>
    <cellStyle name="20% - Accent3 3 2 2 15 2" xfId="32834"/>
    <cellStyle name="20% - Accent3 3 2 2 16" xfId="10715"/>
    <cellStyle name="20% - Accent3 3 2 2 16 2" xfId="33490"/>
    <cellStyle name="20% - Accent3 3 2 2 17" xfId="11371"/>
    <cellStyle name="20% - Accent3 3 2 2 17 2" xfId="34146"/>
    <cellStyle name="20% - Accent3 3 2 2 18" xfId="12027"/>
    <cellStyle name="20% - Accent3 3 2 2 18 2" xfId="34802"/>
    <cellStyle name="20% - Accent3 3 2 2 19" xfId="12683"/>
    <cellStyle name="20% - Accent3 3 2 2 19 2" xfId="35458"/>
    <cellStyle name="20% - Accent3 3 2 2 2" xfId="875"/>
    <cellStyle name="20% - Accent3 3 2 2 2 10" xfId="8419"/>
    <cellStyle name="20% - Accent3 3 2 2 2 10 2" xfId="31194"/>
    <cellStyle name="20% - Accent3 3 2 2 2 11" xfId="9075"/>
    <cellStyle name="20% - Accent3 3 2 2 2 11 2" xfId="31850"/>
    <cellStyle name="20% - Accent3 3 2 2 2 12" xfId="9731"/>
    <cellStyle name="20% - Accent3 3 2 2 2 12 2" xfId="32506"/>
    <cellStyle name="20% - Accent3 3 2 2 2 13" xfId="10387"/>
    <cellStyle name="20% - Accent3 3 2 2 2 13 2" xfId="33162"/>
    <cellStyle name="20% - Accent3 3 2 2 2 14" xfId="11043"/>
    <cellStyle name="20% - Accent3 3 2 2 2 14 2" xfId="33818"/>
    <cellStyle name="20% - Accent3 3 2 2 2 15" xfId="11699"/>
    <cellStyle name="20% - Accent3 3 2 2 2 15 2" xfId="34474"/>
    <cellStyle name="20% - Accent3 3 2 2 2 16" xfId="12355"/>
    <cellStyle name="20% - Accent3 3 2 2 2 16 2" xfId="35130"/>
    <cellStyle name="20% - Accent3 3 2 2 2 17" xfId="13011"/>
    <cellStyle name="20% - Accent3 3 2 2 2 17 2" xfId="35786"/>
    <cellStyle name="20% - Accent3 3 2 2 2 18" xfId="13667"/>
    <cellStyle name="20% - Accent3 3 2 2 2 18 2" xfId="36442"/>
    <cellStyle name="20% - Accent3 3 2 2 2 19" xfId="14323"/>
    <cellStyle name="20% - Accent3 3 2 2 2 19 2" xfId="37098"/>
    <cellStyle name="20% - Accent3 3 2 2 2 2" xfId="1531"/>
    <cellStyle name="20% - Accent3 3 2 2 2 2 2" xfId="3827"/>
    <cellStyle name="20% - Accent3 3 2 2 2 2 2 2" xfId="26602"/>
    <cellStyle name="20% - Accent3 3 2 2 2 2 3" xfId="24306"/>
    <cellStyle name="20% - Accent3 3 2 2 2 20" xfId="14979"/>
    <cellStyle name="20% - Accent3 3 2 2 2 20 2" xfId="37754"/>
    <cellStyle name="20% - Accent3 3 2 2 2 21" xfId="15635"/>
    <cellStyle name="20% - Accent3 3 2 2 2 21 2" xfId="38410"/>
    <cellStyle name="20% - Accent3 3 2 2 2 22" xfId="16291"/>
    <cellStyle name="20% - Accent3 3 2 2 2 22 2" xfId="39066"/>
    <cellStyle name="20% - Accent3 3 2 2 2 23" xfId="16947"/>
    <cellStyle name="20% - Accent3 3 2 2 2 23 2" xfId="39722"/>
    <cellStyle name="20% - Accent3 3 2 2 2 24" xfId="17603"/>
    <cellStyle name="20% - Accent3 3 2 2 2 24 2" xfId="40378"/>
    <cellStyle name="20% - Accent3 3 2 2 2 25" xfId="18259"/>
    <cellStyle name="20% - Accent3 3 2 2 2 25 2" xfId="41034"/>
    <cellStyle name="20% - Accent3 3 2 2 2 26" xfId="18915"/>
    <cellStyle name="20% - Accent3 3 2 2 2 26 2" xfId="41690"/>
    <cellStyle name="20% - Accent3 3 2 2 2 27" xfId="19571"/>
    <cellStyle name="20% - Accent3 3 2 2 2 27 2" xfId="42346"/>
    <cellStyle name="20% - Accent3 3 2 2 2 28" xfId="20227"/>
    <cellStyle name="20% - Accent3 3 2 2 2 28 2" xfId="43002"/>
    <cellStyle name="20% - Accent3 3 2 2 2 29" xfId="20883"/>
    <cellStyle name="20% - Accent3 3 2 2 2 29 2" xfId="43658"/>
    <cellStyle name="20% - Accent3 3 2 2 2 3" xfId="2187"/>
    <cellStyle name="20% - Accent3 3 2 2 2 3 2" xfId="4483"/>
    <cellStyle name="20% - Accent3 3 2 2 2 3 2 2" xfId="27258"/>
    <cellStyle name="20% - Accent3 3 2 2 2 3 3" xfId="24962"/>
    <cellStyle name="20% - Accent3 3 2 2 2 30" xfId="21539"/>
    <cellStyle name="20% - Accent3 3 2 2 2 30 2" xfId="44314"/>
    <cellStyle name="20% - Accent3 3 2 2 2 31" xfId="22195"/>
    <cellStyle name="20% - Accent3 3 2 2 2 31 2" xfId="44970"/>
    <cellStyle name="20% - Accent3 3 2 2 2 32" xfId="22851"/>
    <cellStyle name="20% - Accent3 3 2 2 2 32 2" xfId="45626"/>
    <cellStyle name="20% - Accent3 3 2 2 2 33" xfId="23650"/>
    <cellStyle name="20% - Accent3 3 2 2 2 4" xfId="5139"/>
    <cellStyle name="20% - Accent3 3 2 2 2 4 2" xfId="27914"/>
    <cellStyle name="20% - Accent3 3 2 2 2 5" xfId="5795"/>
    <cellStyle name="20% - Accent3 3 2 2 2 5 2" xfId="28570"/>
    <cellStyle name="20% - Accent3 3 2 2 2 6" xfId="6451"/>
    <cellStyle name="20% - Accent3 3 2 2 2 6 2" xfId="29226"/>
    <cellStyle name="20% - Accent3 3 2 2 2 7" xfId="3171"/>
    <cellStyle name="20% - Accent3 3 2 2 2 7 2" xfId="25946"/>
    <cellStyle name="20% - Accent3 3 2 2 2 8" xfId="7107"/>
    <cellStyle name="20% - Accent3 3 2 2 2 8 2" xfId="29882"/>
    <cellStyle name="20% - Accent3 3 2 2 2 9" xfId="7763"/>
    <cellStyle name="20% - Accent3 3 2 2 2 9 2" xfId="30538"/>
    <cellStyle name="20% - Accent3 3 2 2 20" xfId="13339"/>
    <cellStyle name="20% - Accent3 3 2 2 20 2" xfId="36114"/>
    <cellStyle name="20% - Accent3 3 2 2 21" xfId="13995"/>
    <cellStyle name="20% - Accent3 3 2 2 21 2" xfId="36770"/>
    <cellStyle name="20% - Accent3 3 2 2 22" xfId="14651"/>
    <cellStyle name="20% - Accent3 3 2 2 22 2" xfId="37426"/>
    <cellStyle name="20% - Accent3 3 2 2 23" xfId="15307"/>
    <cellStyle name="20% - Accent3 3 2 2 23 2" xfId="38082"/>
    <cellStyle name="20% - Accent3 3 2 2 24" xfId="15963"/>
    <cellStyle name="20% - Accent3 3 2 2 24 2" xfId="38738"/>
    <cellStyle name="20% - Accent3 3 2 2 25" xfId="16619"/>
    <cellStyle name="20% - Accent3 3 2 2 25 2" xfId="39394"/>
    <cellStyle name="20% - Accent3 3 2 2 26" xfId="17275"/>
    <cellStyle name="20% - Accent3 3 2 2 26 2" xfId="40050"/>
    <cellStyle name="20% - Accent3 3 2 2 27" xfId="17931"/>
    <cellStyle name="20% - Accent3 3 2 2 27 2" xfId="40706"/>
    <cellStyle name="20% - Accent3 3 2 2 28" xfId="18587"/>
    <cellStyle name="20% - Accent3 3 2 2 28 2" xfId="41362"/>
    <cellStyle name="20% - Accent3 3 2 2 29" xfId="19243"/>
    <cellStyle name="20% - Accent3 3 2 2 29 2" xfId="42018"/>
    <cellStyle name="20% - Accent3 3 2 2 3" xfId="1203"/>
    <cellStyle name="20% - Accent3 3 2 2 3 2" xfId="2843"/>
    <cellStyle name="20% - Accent3 3 2 2 3 2 2" xfId="25618"/>
    <cellStyle name="20% - Accent3 3 2 2 3 3" xfId="23978"/>
    <cellStyle name="20% - Accent3 3 2 2 30" xfId="19899"/>
    <cellStyle name="20% - Accent3 3 2 2 30 2" xfId="42674"/>
    <cellStyle name="20% - Accent3 3 2 2 31" xfId="20555"/>
    <cellStyle name="20% - Accent3 3 2 2 31 2" xfId="43330"/>
    <cellStyle name="20% - Accent3 3 2 2 32" xfId="21211"/>
    <cellStyle name="20% - Accent3 3 2 2 32 2" xfId="43986"/>
    <cellStyle name="20% - Accent3 3 2 2 33" xfId="21867"/>
    <cellStyle name="20% - Accent3 3 2 2 33 2" xfId="44642"/>
    <cellStyle name="20% - Accent3 3 2 2 34" xfId="22523"/>
    <cellStyle name="20% - Accent3 3 2 2 34 2" xfId="45298"/>
    <cellStyle name="20% - Accent3 3 2 2 35" xfId="23322"/>
    <cellStyle name="20% - Accent3 3 2 2 4" xfId="1859"/>
    <cellStyle name="20% - Accent3 3 2 2 4 2" xfId="3499"/>
    <cellStyle name="20% - Accent3 3 2 2 4 2 2" xfId="26274"/>
    <cellStyle name="20% - Accent3 3 2 2 4 3" xfId="24634"/>
    <cellStyle name="20% - Accent3 3 2 2 5" xfId="4155"/>
    <cellStyle name="20% - Accent3 3 2 2 5 2" xfId="26930"/>
    <cellStyle name="20% - Accent3 3 2 2 6" xfId="4811"/>
    <cellStyle name="20% - Accent3 3 2 2 6 2" xfId="27586"/>
    <cellStyle name="20% - Accent3 3 2 2 7" xfId="5467"/>
    <cellStyle name="20% - Accent3 3 2 2 7 2" xfId="28242"/>
    <cellStyle name="20% - Accent3 3 2 2 8" xfId="6123"/>
    <cellStyle name="20% - Accent3 3 2 2 8 2" xfId="28898"/>
    <cellStyle name="20% - Accent3 3 2 2 9" xfId="2515"/>
    <cellStyle name="20% - Accent3 3 2 2 9 2" xfId="25290"/>
    <cellStyle name="20% - Accent3 3 2 20" xfId="12498"/>
    <cellStyle name="20% - Accent3 3 2 20 2" xfId="35273"/>
    <cellStyle name="20% - Accent3 3 2 21" xfId="13154"/>
    <cellStyle name="20% - Accent3 3 2 21 2" xfId="35929"/>
    <cellStyle name="20% - Accent3 3 2 22" xfId="13810"/>
    <cellStyle name="20% - Accent3 3 2 22 2" xfId="36585"/>
    <cellStyle name="20% - Accent3 3 2 23" xfId="14466"/>
    <cellStyle name="20% - Accent3 3 2 23 2" xfId="37241"/>
    <cellStyle name="20% - Accent3 3 2 24" xfId="15122"/>
    <cellStyle name="20% - Accent3 3 2 24 2" xfId="37897"/>
    <cellStyle name="20% - Accent3 3 2 25" xfId="15778"/>
    <cellStyle name="20% - Accent3 3 2 25 2" xfId="38553"/>
    <cellStyle name="20% - Accent3 3 2 26" xfId="16434"/>
    <cellStyle name="20% - Accent3 3 2 26 2" xfId="39209"/>
    <cellStyle name="20% - Accent3 3 2 27" xfId="17090"/>
    <cellStyle name="20% - Accent3 3 2 27 2" xfId="39865"/>
    <cellStyle name="20% - Accent3 3 2 28" xfId="17746"/>
    <cellStyle name="20% - Accent3 3 2 28 2" xfId="40521"/>
    <cellStyle name="20% - Accent3 3 2 29" xfId="18402"/>
    <cellStyle name="20% - Accent3 3 2 29 2" xfId="41177"/>
    <cellStyle name="20% - Accent3 3 2 3" xfId="690"/>
    <cellStyle name="20% - Accent3 3 2 3 10" xfId="8234"/>
    <cellStyle name="20% - Accent3 3 2 3 10 2" xfId="31009"/>
    <cellStyle name="20% - Accent3 3 2 3 11" xfId="8890"/>
    <cellStyle name="20% - Accent3 3 2 3 11 2" xfId="31665"/>
    <cellStyle name="20% - Accent3 3 2 3 12" xfId="9546"/>
    <cellStyle name="20% - Accent3 3 2 3 12 2" xfId="32321"/>
    <cellStyle name="20% - Accent3 3 2 3 13" xfId="10202"/>
    <cellStyle name="20% - Accent3 3 2 3 13 2" xfId="32977"/>
    <cellStyle name="20% - Accent3 3 2 3 14" xfId="10858"/>
    <cellStyle name="20% - Accent3 3 2 3 14 2" xfId="33633"/>
    <cellStyle name="20% - Accent3 3 2 3 15" xfId="11514"/>
    <cellStyle name="20% - Accent3 3 2 3 15 2" xfId="34289"/>
    <cellStyle name="20% - Accent3 3 2 3 16" xfId="12170"/>
    <cellStyle name="20% - Accent3 3 2 3 16 2" xfId="34945"/>
    <cellStyle name="20% - Accent3 3 2 3 17" xfId="12826"/>
    <cellStyle name="20% - Accent3 3 2 3 17 2" xfId="35601"/>
    <cellStyle name="20% - Accent3 3 2 3 18" xfId="13482"/>
    <cellStyle name="20% - Accent3 3 2 3 18 2" xfId="36257"/>
    <cellStyle name="20% - Accent3 3 2 3 19" xfId="14138"/>
    <cellStyle name="20% - Accent3 3 2 3 19 2" xfId="36913"/>
    <cellStyle name="20% - Accent3 3 2 3 2" xfId="1346"/>
    <cellStyle name="20% - Accent3 3 2 3 2 2" xfId="3642"/>
    <cellStyle name="20% - Accent3 3 2 3 2 2 2" xfId="26417"/>
    <cellStyle name="20% - Accent3 3 2 3 2 3" xfId="24121"/>
    <cellStyle name="20% - Accent3 3 2 3 20" xfId="14794"/>
    <cellStyle name="20% - Accent3 3 2 3 20 2" xfId="37569"/>
    <cellStyle name="20% - Accent3 3 2 3 21" xfId="15450"/>
    <cellStyle name="20% - Accent3 3 2 3 21 2" xfId="38225"/>
    <cellStyle name="20% - Accent3 3 2 3 22" xfId="16106"/>
    <cellStyle name="20% - Accent3 3 2 3 22 2" xfId="38881"/>
    <cellStyle name="20% - Accent3 3 2 3 23" xfId="16762"/>
    <cellStyle name="20% - Accent3 3 2 3 23 2" xfId="39537"/>
    <cellStyle name="20% - Accent3 3 2 3 24" xfId="17418"/>
    <cellStyle name="20% - Accent3 3 2 3 24 2" xfId="40193"/>
    <cellStyle name="20% - Accent3 3 2 3 25" xfId="18074"/>
    <cellStyle name="20% - Accent3 3 2 3 25 2" xfId="40849"/>
    <cellStyle name="20% - Accent3 3 2 3 26" xfId="18730"/>
    <cellStyle name="20% - Accent3 3 2 3 26 2" xfId="41505"/>
    <cellStyle name="20% - Accent3 3 2 3 27" xfId="19386"/>
    <cellStyle name="20% - Accent3 3 2 3 27 2" xfId="42161"/>
    <cellStyle name="20% - Accent3 3 2 3 28" xfId="20042"/>
    <cellStyle name="20% - Accent3 3 2 3 28 2" xfId="42817"/>
    <cellStyle name="20% - Accent3 3 2 3 29" xfId="20698"/>
    <cellStyle name="20% - Accent3 3 2 3 29 2" xfId="43473"/>
    <cellStyle name="20% - Accent3 3 2 3 3" xfId="2002"/>
    <cellStyle name="20% - Accent3 3 2 3 3 2" xfId="4298"/>
    <cellStyle name="20% - Accent3 3 2 3 3 2 2" xfId="27073"/>
    <cellStyle name="20% - Accent3 3 2 3 3 3" xfId="24777"/>
    <cellStyle name="20% - Accent3 3 2 3 30" xfId="21354"/>
    <cellStyle name="20% - Accent3 3 2 3 30 2" xfId="44129"/>
    <cellStyle name="20% - Accent3 3 2 3 31" xfId="22010"/>
    <cellStyle name="20% - Accent3 3 2 3 31 2" xfId="44785"/>
    <cellStyle name="20% - Accent3 3 2 3 32" xfId="22666"/>
    <cellStyle name="20% - Accent3 3 2 3 32 2" xfId="45441"/>
    <cellStyle name="20% - Accent3 3 2 3 33" xfId="23465"/>
    <cellStyle name="20% - Accent3 3 2 3 4" xfId="4954"/>
    <cellStyle name="20% - Accent3 3 2 3 4 2" xfId="27729"/>
    <cellStyle name="20% - Accent3 3 2 3 5" xfId="5610"/>
    <cellStyle name="20% - Accent3 3 2 3 5 2" xfId="28385"/>
    <cellStyle name="20% - Accent3 3 2 3 6" xfId="6266"/>
    <cellStyle name="20% - Accent3 3 2 3 6 2" xfId="29041"/>
    <cellStyle name="20% - Accent3 3 2 3 7" xfId="2986"/>
    <cellStyle name="20% - Accent3 3 2 3 7 2" xfId="25761"/>
    <cellStyle name="20% - Accent3 3 2 3 8" xfId="6922"/>
    <cellStyle name="20% - Accent3 3 2 3 8 2" xfId="29697"/>
    <cellStyle name="20% - Accent3 3 2 3 9" xfId="7578"/>
    <cellStyle name="20% - Accent3 3 2 3 9 2" xfId="30353"/>
    <cellStyle name="20% - Accent3 3 2 30" xfId="19058"/>
    <cellStyle name="20% - Accent3 3 2 30 2" xfId="41833"/>
    <cellStyle name="20% - Accent3 3 2 31" xfId="19714"/>
    <cellStyle name="20% - Accent3 3 2 31 2" xfId="42489"/>
    <cellStyle name="20% - Accent3 3 2 32" xfId="20370"/>
    <cellStyle name="20% - Accent3 3 2 32 2" xfId="43145"/>
    <cellStyle name="20% - Accent3 3 2 33" xfId="21026"/>
    <cellStyle name="20% - Accent3 3 2 33 2" xfId="43801"/>
    <cellStyle name="20% - Accent3 3 2 34" xfId="21682"/>
    <cellStyle name="20% - Accent3 3 2 34 2" xfId="44457"/>
    <cellStyle name="20% - Accent3 3 2 35" xfId="22338"/>
    <cellStyle name="20% - Accent3 3 2 35 2" xfId="45113"/>
    <cellStyle name="20% - Accent3 3 2 36" xfId="22994"/>
    <cellStyle name="20% - Accent3 3 2 4" xfId="363"/>
    <cellStyle name="20% - Accent3 3 2 4 2" xfId="2658"/>
    <cellStyle name="20% - Accent3 3 2 4 2 2" xfId="25433"/>
    <cellStyle name="20% - Accent3 3 2 4 3" xfId="23137"/>
    <cellStyle name="20% - Accent3 3 2 5" xfId="1018"/>
    <cellStyle name="20% - Accent3 3 2 5 2" xfId="3314"/>
    <cellStyle name="20% - Accent3 3 2 5 2 2" xfId="26089"/>
    <cellStyle name="20% - Accent3 3 2 5 3" xfId="23793"/>
    <cellStyle name="20% - Accent3 3 2 6" xfId="1674"/>
    <cellStyle name="20% - Accent3 3 2 6 2" xfId="3970"/>
    <cellStyle name="20% - Accent3 3 2 6 2 2" xfId="26745"/>
    <cellStyle name="20% - Accent3 3 2 6 3" xfId="24449"/>
    <cellStyle name="20% - Accent3 3 2 7" xfId="4626"/>
    <cellStyle name="20% - Accent3 3 2 7 2" xfId="27401"/>
    <cellStyle name="20% - Accent3 3 2 8" xfId="5282"/>
    <cellStyle name="20% - Accent3 3 2 8 2" xfId="28057"/>
    <cellStyle name="20% - Accent3 3 2 9" xfId="5938"/>
    <cellStyle name="20% - Accent3 3 2 9 2" xfId="28713"/>
    <cellStyle name="20% - Accent3 3 20" xfId="11787"/>
    <cellStyle name="20% - Accent3 3 20 2" xfId="34562"/>
    <cellStyle name="20% - Accent3 3 21" xfId="12443"/>
    <cellStyle name="20% - Accent3 3 21 2" xfId="35218"/>
    <cellStyle name="20% - Accent3 3 22" xfId="13099"/>
    <cellStyle name="20% - Accent3 3 22 2" xfId="35874"/>
    <cellStyle name="20% - Accent3 3 23" xfId="13755"/>
    <cellStyle name="20% - Accent3 3 23 2" xfId="36530"/>
    <cellStyle name="20% - Accent3 3 24" xfId="14411"/>
    <cellStyle name="20% - Accent3 3 24 2" xfId="37186"/>
    <cellStyle name="20% - Accent3 3 25" xfId="15067"/>
    <cellStyle name="20% - Accent3 3 25 2" xfId="37842"/>
    <cellStyle name="20% - Accent3 3 26" xfId="15723"/>
    <cellStyle name="20% - Accent3 3 26 2" xfId="38498"/>
    <cellStyle name="20% - Accent3 3 27" xfId="16379"/>
    <cellStyle name="20% - Accent3 3 27 2" xfId="39154"/>
    <cellStyle name="20% - Accent3 3 28" xfId="17035"/>
    <cellStyle name="20% - Accent3 3 28 2" xfId="39810"/>
    <cellStyle name="20% - Accent3 3 29" xfId="17691"/>
    <cellStyle name="20% - Accent3 3 29 2" xfId="40466"/>
    <cellStyle name="20% - Accent3 3 3" xfId="492"/>
    <cellStyle name="20% - Accent3 3 3 10" xfId="6724"/>
    <cellStyle name="20% - Accent3 3 3 10 2" xfId="29499"/>
    <cellStyle name="20% - Accent3 3 3 11" xfId="7380"/>
    <cellStyle name="20% - Accent3 3 3 11 2" xfId="30155"/>
    <cellStyle name="20% - Accent3 3 3 12" xfId="8036"/>
    <cellStyle name="20% - Accent3 3 3 12 2" xfId="30811"/>
    <cellStyle name="20% - Accent3 3 3 13" xfId="8692"/>
    <cellStyle name="20% - Accent3 3 3 13 2" xfId="31467"/>
    <cellStyle name="20% - Accent3 3 3 14" xfId="9348"/>
    <cellStyle name="20% - Accent3 3 3 14 2" xfId="32123"/>
    <cellStyle name="20% - Accent3 3 3 15" xfId="10004"/>
    <cellStyle name="20% - Accent3 3 3 15 2" xfId="32779"/>
    <cellStyle name="20% - Accent3 3 3 16" xfId="10660"/>
    <cellStyle name="20% - Accent3 3 3 16 2" xfId="33435"/>
    <cellStyle name="20% - Accent3 3 3 17" xfId="11316"/>
    <cellStyle name="20% - Accent3 3 3 17 2" xfId="34091"/>
    <cellStyle name="20% - Accent3 3 3 18" xfId="11972"/>
    <cellStyle name="20% - Accent3 3 3 18 2" xfId="34747"/>
    <cellStyle name="20% - Accent3 3 3 19" xfId="12628"/>
    <cellStyle name="20% - Accent3 3 3 19 2" xfId="35403"/>
    <cellStyle name="20% - Accent3 3 3 2" xfId="820"/>
    <cellStyle name="20% - Accent3 3 3 2 10" xfId="8364"/>
    <cellStyle name="20% - Accent3 3 3 2 10 2" xfId="31139"/>
    <cellStyle name="20% - Accent3 3 3 2 11" xfId="9020"/>
    <cellStyle name="20% - Accent3 3 3 2 11 2" xfId="31795"/>
    <cellStyle name="20% - Accent3 3 3 2 12" xfId="9676"/>
    <cellStyle name="20% - Accent3 3 3 2 12 2" xfId="32451"/>
    <cellStyle name="20% - Accent3 3 3 2 13" xfId="10332"/>
    <cellStyle name="20% - Accent3 3 3 2 13 2" xfId="33107"/>
    <cellStyle name="20% - Accent3 3 3 2 14" xfId="10988"/>
    <cellStyle name="20% - Accent3 3 3 2 14 2" xfId="33763"/>
    <cellStyle name="20% - Accent3 3 3 2 15" xfId="11644"/>
    <cellStyle name="20% - Accent3 3 3 2 15 2" xfId="34419"/>
    <cellStyle name="20% - Accent3 3 3 2 16" xfId="12300"/>
    <cellStyle name="20% - Accent3 3 3 2 16 2" xfId="35075"/>
    <cellStyle name="20% - Accent3 3 3 2 17" xfId="12956"/>
    <cellStyle name="20% - Accent3 3 3 2 17 2" xfId="35731"/>
    <cellStyle name="20% - Accent3 3 3 2 18" xfId="13612"/>
    <cellStyle name="20% - Accent3 3 3 2 18 2" xfId="36387"/>
    <cellStyle name="20% - Accent3 3 3 2 19" xfId="14268"/>
    <cellStyle name="20% - Accent3 3 3 2 19 2" xfId="37043"/>
    <cellStyle name="20% - Accent3 3 3 2 2" xfId="1476"/>
    <cellStyle name="20% - Accent3 3 3 2 2 2" xfId="3772"/>
    <cellStyle name="20% - Accent3 3 3 2 2 2 2" xfId="26547"/>
    <cellStyle name="20% - Accent3 3 3 2 2 3" xfId="24251"/>
    <cellStyle name="20% - Accent3 3 3 2 20" xfId="14924"/>
    <cellStyle name="20% - Accent3 3 3 2 20 2" xfId="37699"/>
    <cellStyle name="20% - Accent3 3 3 2 21" xfId="15580"/>
    <cellStyle name="20% - Accent3 3 3 2 21 2" xfId="38355"/>
    <cellStyle name="20% - Accent3 3 3 2 22" xfId="16236"/>
    <cellStyle name="20% - Accent3 3 3 2 22 2" xfId="39011"/>
    <cellStyle name="20% - Accent3 3 3 2 23" xfId="16892"/>
    <cellStyle name="20% - Accent3 3 3 2 23 2" xfId="39667"/>
    <cellStyle name="20% - Accent3 3 3 2 24" xfId="17548"/>
    <cellStyle name="20% - Accent3 3 3 2 24 2" xfId="40323"/>
    <cellStyle name="20% - Accent3 3 3 2 25" xfId="18204"/>
    <cellStyle name="20% - Accent3 3 3 2 25 2" xfId="40979"/>
    <cellStyle name="20% - Accent3 3 3 2 26" xfId="18860"/>
    <cellStyle name="20% - Accent3 3 3 2 26 2" xfId="41635"/>
    <cellStyle name="20% - Accent3 3 3 2 27" xfId="19516"/>
    <cellStyle name="20% - Accent3 3 3 2 27 2" xfId="42291"/>
    <cellStyle name="20% - Accent3 3 3 2 28" xfId="20172"/>
    <cellStyle name="20% - Accent3 3 3 2 28 2" xfId="42947"/>
    <cellStyle name="20% - Accent3 3 3 2 29" xfId="20828"/>
    <cellStyle name="20% - Accent3 3 3 2 29 2" xfId="43603"/>
    <cellStyle name="20% - Accent3 3 3 2 3" xfId="2132"/>
    <cellStyle name="20% - Accent3 3 3 2 3 2" xfId="4428"/>
    <cellStyle name="20% - Accent3 3 3 2 3 2 2" xfId="27203"/>
    <cellStyle name="20% - Accent3 3 3 2 3 3" xfId="24907"/>
    <cellStyle name="20% - Accent3 3 3 2 30" xfId="21484"/>
    <cellStyle name="20% - Accent3 3 3 2 30 2" xfId="44259"/>
    <cellStyle name="20% - Accent3 3 3 2 31" xfId="22140"/>
    <cellStyle name="20% - Accent3 3 3 2 31 2" xfId="44915"/>
    <cellStyle name="20% - Accent3 3 3 2 32" xfId="22796"/>
    <cellStyle name="20% - Accent3 3 3 2 32 2" xfId="45571"/>
    <cellStyle name="20% - Accent3 3 3 2 33" xfId="23595"/>
    <cellStyle name="20% - Accent3 3 3 2 4" xfId="5084"/>
    <cellStyle name="20% - Accent3 3 3 2 4 2" xfId="27859"/>
    <cellStyle name="20% - Accent3 3 3 2 5" xfId="5740"/>
    <cellStyle name="20% - Accent3 3 3 2 5 2" xfId="28515"/>
    <cellStyle name="20% - Accent3 3 3 2 6" xfId="6396"/>
    <cellStyle name="20% - Accent3 3 3 2 6 2" xfId="29171"/>
    <cellStyle name="20% - Accent3 3 3 2 7" xfId="3116"/>
    <cellStyle name="20% - Accent3 3 3 2 7 2" xfId="25891"/>
    <cellStyle name="20% - Accent3 3 3 2 8" xfId="7052"/>
    <cellStyle name="20% - Accent3 3 3 2 8 2" xfId="29827"/>
    <cellStyle name="20% - Accent3 3 3 2 9" xfId="7708"/>
    <cellStyle name="20% - Accent3 3 3 2 9 2" xfId="30483"/>
    <cellStyle name="20% - Accent3 3 3 20" xfId="13284"/>
    <cellStyle name="20% - Accent3 3 3 20 2" xfId="36059"/>
    <cellStyle name="20% - Accent3 3 3 21" xfId="13940"/>
    <cellStyle name="20% - Accent3 3 3 21 2" xfId="36715"/>
    <cellStyle name="20% - Accent3 3 3 22" xfId="14596"/>
    <cellStyle name="20% - Accent3 3 3 22 2" xfId="37371"/>
    <cellStyle name="20% - Accent3 3 3 23" xfId="15252"/>
    <cellStyle name="20% - Accent3 3 3 23 2" xfId="38027"/>
    <cellStyle name="20% - Accent3 3 3 24" xfId="15908"/>
    <cellStyle name="20% - Accent3 3 3 24 2" xfId="38683"/>
    <cellStyle name="20% - Accent3 3 3 25" xfId="16564"/>
    <cellStyle name="20% - Accent3 3 3 25 2" xfId="39339"/>
    <cellStyle name="20% - Accent3 3 3 26" xfId="17220"/>
    <cellStyle name="20% - Accent3 3 3 26 2" xfId="39995"/>
    <cellStyle name="20% - Accent3 3 3 27" xfId="17876"/>
    <cellStyle name="20% - Accent3 3 3 27 2" xfId="40651"/>
    <cellStyle name="20% - Accent3 3 3 28" xfId="18532"/>
    <cellStyle name="20% - Accent3 3 3 28 2" xfId="41307"/>
    <cellStyle name="20% - Accent3 3 3 29" xfId="19188"/>
    <cellStyle name="20% - Accent3 3 3 29 2" xfId="41963"/>
    <cellStyle name="20% - Accent3 3 3 3" xfId="1148"/>
    <cellStyle name="20% - Accent3 3 3 3 2" xfId="2788"/>
    <cellStyle name="20% - Accent3 3 3 3 2 2" xfId="25563"/>
    <cellStyle name="20% - Accent3 3 3 3 3" xfId="23923"/>
    <cellStyle name="20% - Accent3 3 3 30" xfId="19844"/>
    <cellStyle name="20% - Accent3 3 3 30 2" xfId="42619"/>
    <cellStyle name="20% - Accent3 3 3 31" xfId="20500"/>
    <cellStyle name="20% - Accent3 3 3 31 2" xfId="43275"/>
    <cellStyle name="20% - Accent3 3 3 32" xfId="21156"/>
    <cellStyle name="20% - Accent3 3 3 32 2" xfId="43931"/>
    <cellStyle name="20% - Accent3 3 3 33" xfId="21812"/>
    <cellStyle name="20% - Accent3 3 3 33 2" xfId="44587"/>
    <cellStyle name="20% - Accent3 3 3 34" xfId="22468"/>
    <cellStyle name="20% - Accent3 3 3 34 2" xfId="45243"/>
    <cellStyle name="20% - Accent3 3 3 35" xfId="23267"/>
    <cellStyle name="20% - Accent3 3 3 4" xfId="1804"/>
    <cellStyle name="20% - Accent3 3 3 4 2" xfId="3444"/>
    <cellStyle name="20% - Accent3 3 3 4 2 2" xfId="26219"/>
    <cellStyle name="20% - Accent3 3 3 4 3" xfId="24579"/>
    <cellStyle name="20% - Accent3 3 3 5" xfId="4100"/>
    <cellStyle name="20% - Accent3 3 3 5 2" xfId="26875"/>
    <cellStyle name="20% - Accent3 3 3 6" xfId="4756"/>
    <cellStyle name="20% - Accent3 3 3 6 2" xfId="27531"/>
    <cellStyle name="20% - Accent3 3 3 7" xfId="5412"/>
    <cellStyle name="20% - Accent3 3 3 7 2" xfId="28187"/>
    <cellStyle name="20% - Accent3 3 3 8" xfId="6068"/>
    <cellStyle name="20% - Accent3 3 3 8 2" xfId="28843"/>
    <cellStyle name="20% - Accent3 3 3 9" xfId="2460"/>
    <cellStyle name="20% - Accent3 3 3 9 2" xfId="25235"/>
    <cellStyle name="20% - Accent3 3 30" xfId="18347"/>
    <cellStyle name="20% - Accent3 3 30 2" xfId="41122"/>
    <cellStyle name="20% - Accent3 3 31" xfId="19003"/>
    <cellStyle name="20% - Accent3 3 31 2" xfId="41778"/>
    <cellStyle name="20% - Accent3 3 32" xfId="19659"/>
    <cellStyle name="20% - Accent3 3 32 2" xfId="42434"/>
    <cellStyle name="20% - Accent3 3 33" xfId="20315"/>
    <cellStyle name="20% - Accent3 3 33 2" xfId="43090"/>
    <cellStyle name="20% - Accent3 3 34" xfId="20971"/>
    <cellStyle name="20% - Accent3 3 34 2" xfId="43746"/>
    <cellStyle name="20% - Accent3 3 35" xfId="21627"/>
    <cellStyle name="20% - Accent3 3 35 2" xfId="44402"/>
    <cellStyle name="20% - Accent3 3 36" xfId="22283"/>
    <cellStyle name="20% - Accent3 3 36 2" xfId="45058"/>
    <cellStyle name="20% - Accent3 3 37" xfId="222"/>
    <cellStyle name="20% - Accent3 3 38" xfId="22939"/>
    <cellStyle name="20% - Accent3 3 4" xfId="635"/>
    <cellStyle name="20% - Accent3 3 4 10" xfId="8179"/>
    <cellStyle name="20% - Accent3 3 4 10 2" xfId="30954"/>
    <cellStyle name="20% - Accent3 3 4 11" xfId="8835"/>
    <cellStyle name="20% - Accent3 3 4 11 2" xfId="31610"/>
    <cellStyle name="20% - Accent3 3 4 12" xfId="9491"/>
    <cellStyle name="20% - Accent3 3 4 12 2" xfId="32266"/>
    <cellStyle name="20% - Accent3 3 4 13" xfId="10147"/>
    <cellStyle name="20% - Accent3 3 4 13 2" xfId="32922"/>
    <cellStyle name="20% - Accent3 3 4 14" xfId="10803"/>
    <cellStyle name="20% - Accent3 3 4 14 2" xfId="33578"/>
    <cellStyle name="20% - Accent3 3 4 15" xfId="11459"/>
    <cellStyle name="20% - Accent3 3 4 15 2" xfId="34234"/>
    <cellStyle name="20% - Accent3 3 4 16" xfId="12115"/>
    <cellStyle name="20% - Accent3 3 4 16 2" xfId="34890"/>
    <cellStyle name="20% - Accent3 3 4 17" xfId="12771"/>
    <cellStyle name="20% - Accent3 3 4 17 2" xfId="35546"/>
    <cellStyle name="20% - Accent3 3 4 18" xfId="13427"/>
    <cellStyle name="20% - Accent3 3 4 18 2" xfId="36202"/>
    <cellStyle name="20% - Accent3 3 4 19" xfId="14083"/>
    <cellStyle name="20% - Accent3 3 4 19 2" xfId="36858"/>
    <cellStyle name="20% - Accent3 3 4 2" xfId="1291"/>
    <cellStyle name="20% - Accent3 3 4 2 2" xfId="3587"/>
    <cellStyle name="20% - Accent3 3 4 2 2 2" xfId="26362"/>
    <cellStyle name="20% - Accent3 3 4 2 3" xfId="24066"/>
    <cellStyle name="20% - Accent3 3 4 20" xfId="14739"/>
    <cellStyle name="20% - Accent3 3 4 20 2" xfId="37514"/>
    <cellStyle name="20% - Accent3 3 4 21" xfId="15395"/>
    <cellStyle name="20% - Accent3 3 4 21 2" xfId="38170"/>
    <cellStyle name="20% - Accent3 3 4 22" xfId="16051"/>
    <cellStyle name="20% - Accent3 3 4 22 2" xfId="38826"/>
    <cellStyle name="20% - Accent3 3 4 23" xfId="16707"/>
    <cellStyle name="20% - Accent3 3 4 23 2" xfId="39482"/>
    <cellStyle name="20% - Accent3 3 4 24" xfId="17363"/>
    <cellStyle name="20% - Accent3 3 4 24 2" xfId="40138"/>
    <cellStyle name="20% - Accent3 3 4 25" xfId="18019"/>
    <cellStyle name="20% - Accent3 3 4 25 2" xfId="40794"/>
    <cellStyle name="20% - Accent3 3 4 26" xfId="18675"/>
    <cellStyle name="20% - Accent3 3 4 26 2" xfId="41450"/>
    <cellStyle name="20% - Accent3 3 4 27" xfId="19331"/>
    <cellStyle name="20% - Accent3 3 4 27 2" xfId="42106"/>
    <cellStyle name="20% - Accent3 3 4 28" xfId="19987"/>
    <cellStyle name="20% - Accent3 3 4 28 2" xfId="42762"/>
    <cellStyle name="20% - Accent3 3 4 29" xfId="20643"/>
    <cellStyle name="20% - Accent3 3 4 29 2" xfId="43418"/>
    <cellStyle name="20% - Accent3 3 4 3" xfId="1947"/>
    <cellStyle name="20% - Accent3 3 4 3 2" xfId="4243"/>
    <cellStyle name="20% - Accent3 3 4 3 2 2" xfId="27018"/>
    <cellStyle name="20% - Accent3 3 4 3 3" xfId="24722"/>
    <cellStyle name="20% - Accent3 3 4 30" xfId="21299"/>
    <cellStyle name="20% - Accent3 3 4 30 2" xfId="44074"/>
    <cellStyle name="20% - Accent3 3 4 31" xfId="21955"/>
    <cellStyle name="20% - Accent3 3 4 31 2" xfId="44730"/>
    <cellStyle name="20% - Accent3 3 4 32" xfId="22611"/>
    <cellStyle name="20% - Accent3 3 4 32 2" xfId="45386"/>
    <cellStyle name="20% - Accent3 3 4 33" xfId="23410"/>
    <cellStyle name="20% - Accent3 3 4 4" xfId="4899"/>
    <cellStyle name="20% - Accent3 3 4 4 2" xfId="27674"/>
    <cellStyle name="20% - Accent3 3 4 5" xfId="5555"/>
    <cellStyle name="20% - Accent3 3 4 5 2" xfId="28330"/>
    <cellStyle name="20% - Accent3 3 4 6" xfId="6211"/>
    <cellStyle name="20% - Accent3 3 4 6 2" xfId="28986"/>
    <cellStyle name="20% - Accent3 3 4 7" xfId="2931"/>
    <cellStyle name="20% - Accent3 3 4 7 2" xfId="25706"/>
    <cellStyle name="20% - Accent3 3 4 8" xfId="6867"/>
    <cellStyle name="20% - Accent3 3 4 8 2" xfId="29642"/>
    <cellStyle name="20% - Accent3 3 4 9" xfId="7523"/>
    <cellStyle name="20% - Accent3 3 4 9 2" xfId="30298"/>
    <cellStyle name="20% - Accent3 3 5" xfId="308"/>
    <cellStyle name="20% - Accent3 3 5 2" xfId="2603"/>
    <cellStyle name="20% - Accent3 3 5 2 2" xfId="25378"/>
    <cellStyle name="20% - Accent3 3 5 3" xfId="23082"/>
    <cellStyle name="20% - Accent3 3 6" xfId="963"/>
    <cellStyle name="20% - Accent3 3 6 2" xfId="3259"/>
    <cellStyle name="20% - Accent3 3 6 2 2" xfId="26034"/>
    <cellStyle name="20% - Accent3 3 6 3" xfId="23738"/>
    <cellStyle name="20% - Accent3 3 7" xfId="1619"/>
    <cellStyle name="20% - Accent3 3 7 2" xfId="3915"/>
    <cellStyle name="20% - Accent3 3 7 2 2" xfId="26690"/>
    <cellStyle name="20% - Accent3 3 7 3" xfId="24394"/>
    <cellStyle name="20% - Accent3 3 8" xfId="4571"/>
    <cellStyle name="20% - Accent3 3 8 2" xfId="27346"/>
    <cellStyle name="20% - Accent3 3 9" xfId="5227"/>
    <cellStyle name="20% - Accent3 3 9 2" xfId="28002"/>
    <cellStyle name="20% - Accent3 30" xfId="13724"/>
    <cellStyle name="20% - Accent3 30 2" xfId="36499"/>
    <cellStyle name="20% - Accent3 31" xfId="14380"/>
    <cellStyle name="20% - Accent3 31 2" xfId="37155"/>
    <cellStyle name="20% - Accent3 32" xfId="15036"/>
    <cellStyle name="20% - Accent3 32 2" xfId="37811"/>
    <cellStyle name="20% - Accent3 33" xfId="15692"/>
    <cellStyle name="20% - Accent3 33 2" xfId="38467"/>
    <cellStyle name="20% - Accent3 34" xfId="16348"/>
    <cellStyle name="20% - Accent3 34 2" xfId="39123"/>
    <cellStyle name="20% - Accent3 35" xfId="17004"/>
    <cellStyle name="20% - Accent3 35 2" xfId="39779"/>
    <cellStyle name="20% - Accent3 36" xfId="17660"/>
    <cellStyle name="20% - Accent3 36 2" xfId="40435"/>
    <cellStyle name="20% - Accent3 37" xfId="18316"/>
    <cellStyle name="20% - Accent3 37 2" xfId="41091"/>
    <cellStyle name="20% - Accent3 38" xfId="18972"/>
    <cellStyle name="20% - Accent3 38 2" xfId="41747"/>
    <cellStyle name="20% - Accent3 39" xfId="19628"/>
    <cellStyle name="20% - Accent3 39 2" xfId="42403"/>
    <cellStyle name="20% - Accent3 4" xfId="91"/>
    <cellStyle name="20% - Accent3 4 10" xfId="5897"/>
    <cellStyle name="20% - Accent3 4 10 2" xfId="28672"/>
    <cellStyle name="20% - Accent3 4 11" xfId="2289"/>
    <cellStyle name="20% - Accent3 4 11 2" xfId="25064"/>
    <cellStyle name="20% - Accent3 4 12" xfId="6553"/>
    <cellStyle name="20% - Accent3 4 12 2" xfId="29328"/>
    <cellStyle name="20% - Accent3 4 13" xfId="7209"/>
    <cellStyle name="20% - Accent3 4 13 2" xfId="29984"/>
    <cellStyle name="20% - Accent3 4 14" xfId="7865"/>
    <cellStyle name="20% - Accent3 4 14 2" xfId="30640"/>
    <cellStyle name="20% - Accent3 4 15" xfId="8521"/>
    <cellStyle name="20% - Accent3 4 15 2" xfId="31296"/>
    <cellStyle name="20% - Accent3 4 16" xfId="9177"/>
    <cellStyle name="20% - Accent3 4 16 2" xfId="31952"/>
    <cellStyle name="20% - Accent3 4 17" xfId="9833"/>
    <cellStyle name="20% - Accent3 4 17 2" xfId="32608"/>
    <cellStyle name="20% - Accent3 4 18" xfId="10489"/>
    <cellStyle name="20% - Accent3 4 18 2" xfId="33264"/>
    <cellStyle name="20% - Accent3 4 19" xfId="11145"/>
    <cellStyle name="20% - Accent3 4 19 2" xfId="33920"/>
    <cellStyle name="20% - Accent3 4 2" xfId="162"/>
    <cellStyle name="20% - Accent3 4 2 10" xfId="2360"/>
    <cellStyle name="20% - Accent3 4 2 10 2" xfId="25135"/>
    <cellStyle name="20% - Accent3 4 2 11" xfId="6624"/>
    <cellStyle name="20% - Accent3 4 2 11 2" xfId="29399"/>
    <cellStyle name="20% - Accent3 4 2 12" xfId="7280"/>
    <cellStyle name="20% - Accent3 4 2 12 2" xfId="30055"/>
    <cellStyle name="20% - Accent3 4 2 13" xfId="7936"/>
    <cellStyle name="20% - Accent3 4 2 13 2" xfId="30711"/>
    <cellStyle name="20% - Accent3 4 2 14" xfId="8592"/>
    <cellStyle name="20% - Accent3 4 2 14 2" xfId="31367"/>
    <cellStyle name="20% - Accent3 4 2 15" xfId="9248"/>
    <cellStyle name="20% - Accent3 4 2 15 2" xfId="32023"/>
    <cellStyle name="20% - Accent3 4 2 16" xfId="9904"/>
    <cellStyle name="20% - Accent3 4 2 16 2" xfId="32679"/>
    <cellStyle name="20% - Accent3 4 2 17" xfId="10560"/>
    <cellStyle name="20% - Accent3 4 2 17 2" xfId="33335"/>
    <cellStyle name="20% - Accent3 4 2 18" xfId="11216"/>
    <cellStyle name="20% - Accent3 4 2 18 2" xfId="33991"/>
    <cellStyle name="20% - Accent3 4 2 19" xfId="11872"/>
    <cellStyle name="20% - Accent3 4 2 19 2" xfId="34647"/>
    <cellStyle name="20% - Accent3 4 2 2" xfId="576"/>
    <cellStyle name="20% - Accent3 4 2 2 10" xfId="6809"/>
    <cellStyle name="20% - Accent3 4 2 2 10 2" xfId="29584"/>
    <cellStyle name="20% - Accent3 4 2 2 11" xfId="7465"/>
    <cellStyle name="20% - Accent3 4 2 2 11 2" xfId="30240"/>
    <cellStyle name="20% - Accent3 4 2 2 12" xfId="8121"/>
    <cellStyle name="20% - Accent3 4 2 2 12 2" xfId="30896"/>
    <cellStyle name="20% - Accent3 4 2 2 13" xfId="8777"/>
    <cellStyle name="20% - Accent3 4 2 2 13 2" xfId="31552"/>
    <cellStyle name="20% - Accent3 4 2 2 14" xfId="9433"/>
    <cellStyle name="20% - Accent3 4 2 2 14 2" xfId="32208"/>
    <cellStyle name="20% - Accent3 4 2 2 15" xfId="10089"/>
    <cellStyle name="20% - Accent3 4 2 2 15 2" xfId="32864"/>
    <cellStyle name="20% - Accent3 4 2 2 16" xfId="10745"/>
    <cellStyle name="20% - Accent3 4 2 2 16 2" xfId="33520"/>
    <cellStyle name="20% - Accent3 4 2 2 17" xfId="11401"/>
    <cellStyle name="20% - Accent3 4 2 2 17 2" xfId="34176"/>
    <cellStyle name="20% - Accent3 4 2 2 18" xfId="12057"/>
    <cellStyle name="20% - Accent3 4 2 2 18 2" xfId="34832"/>
    <cellStyle name="20% - Accent3 4 2 2 19" xfId="12713"/>
    <cellStyle name="20% - Accent3 4 2 2 19 2" xfId="35488"/>
    <cellStyle name="20% - Accent3 4 2 2 2" xfId="905"/>
    <cellStyle name="20% - Accent3 4 2 2 2 10" xfId="8449"/>
    <cellStyle name="20% - Accent3 4 2 2 2 10 2" xfId="31224"/>
    <cellStyle name="20% - Accent3 4 2 2 2 11" xfId="9105"/>
    <cellStyle name="20% - Accent3 4 2 2 2 11 2" xfId="31880"/>
    <cellStyle name="20% - Accent3 4 2 2 2 12" xfId="9761"/>
    <cellStyle name="20% - Accent3 4 2 2 2 12 2" xfId="32536"/>
    <cellStyle name="20% - Accent3 4 2 2 2 13" xfId="10417"/>
    <cellStyle name="20% - Accent3 4 2 2 2 13 2" xfId="33192"/>
    <cellStyle name="20% - Accent3 4 2 2 2 14" xfId="11073"/>
    <cellStyle name="20% - Accent3 4 2 2 2 14 2" xfId="33848"/>
    <cellStyle name="20% - Accent3 4 2 2 2 15" xfId="11729"/>
    <cellStyle name="20% - Accent3 4 2 2 2 15 2" xfId="34504"/>
    <cellStyle name="20% - Accent3 4 2 2 2 16" xfId="12385"/>
    <cellStyle name="20% - Accent3 4 2 2 2 16 2" xfId="35160"/>
    <cellStyle name="20% - Accent3 4 2 2 2 17" xfId="13041"/>
    <cellStyle name="20% - Accent3 4 2 2 2 17 2" xfId="35816"/>
    <cellStyle name="20% - Accent3 4 2 2 2 18" xfId="13697"/>
    <cellStyle name="20% - Accent3 4 2 2 2 18 2" xfId="36472"/>
    <cellStyle name="20% - Accent3 4 2 2 2 19" xfId="14353"/>
    <cellStyle name="20% - Accent3 4 2 2 2 19 2" xfId="37128"/>
    <cellStyle name="20% - Accent3 4 2 2 2 2" xfId="1561"/>
    <cellStyle name="20% - Accent3 4 2 2 2 2 2" xfId="3857"/>
    <cellStyle name="20% - Accent3 4 2 2 2 2 2 2" xfId="26632"/>
    <cellStyle name="20% - Accent3 4 2 2 2 2 3" xfId="24336"/>
    <cellStyle name="20% - Accent3 4 2 2 2 20" xfId="15009"/>
    <cellStyle name="20% - Accent3 4 2 2 2 20 2" xfId="37784"/>
    <cellStyle name="20% - Accent3 4 2 2 2 21" xfId="15665"/>
    <cellStyle name="20% - Accent3 4 2 2 2 21 2" xfId="38440"/>
    <cellStyle name="20% - Accent3 4 2 2 2 22" xfId="16321"/>
    <cellStyle name="20% - Accent3 4 2 2 2 22 2" xfId="39096"/>
    <cellStyle name="20% - Accent3 4 2 2 2 23" xfId="16977"/>
    <cellStyle name="20% - Accent3 4 2 2 2 23 2" xfId="39752"/>
    <cellStyle name="20% - Accent3 4 2 2 2 24" xfId="17633"/>
    <cellStyle name="20% - Accent3 4 2 2 2 24 2" xfId="40408"/>
    <cellStyle name="20% - Accent3 4 2 2 2 25" xfId="18289"/>
    <cellStyle name="20% - Accent3 4 2 2 2 25 2" xfId="41064"/>
    <cellStyle name="20% - Accent3 4 2 2 2 26" xfId="18945"/>
    <cellStyle name="20% - Accent3 4 2 2 2 26 2" xfId="41720"/>
    <cellStyle name="20% - Accent3 4 2 2 2 27" xfId="19601"/>
    <cellStyle name="20% - Accent3 4 2 2 2 27 2" xfId="42376"/>
    <cellStyle name="20% - Accent3 4 2 2 2 28" xfId="20257"/>
    <cellStyle name="20% - Accent3 4 2 2 2 28 2" xfId="43032"/>
    <cellStyle name="20% - Accent3 4 2 2 2 29" xfId="20913"/>
    <cellStyle name="20% - Accent3 4 2 2 2 29 2" xfId="43688"/>
    <cellStyle name="20% - Accent3 4 2 2 2 3" xfId="2217"/>
    <cellStyle name="20% - Accent3 4 2 2 2 3 2" xfId="4513"/>
    <cellStyle name="20% - Accent3 4 2 2 2 3 2 2" xfId="27288"/>
    <cellStyle name="20% - Accent3 4 2 2 2 3 3" xfId="24992"/>
    <cellStyle name="20% - Accent3 4 2 2 2 30" xfId="21569"/>
    <cellStyle name="20% - Accent3 4 2 2 2 30 2" xfId="44344"/>
    <cellStyle name="20% - Accent3 4 2 2 2 31" xfId="22225"/>
    <cellStyle name="20% - Accent3 4 2 2 2 31 2" xfId="45000"/>
    <cellStyle name="20% - Accent3 4 2 2 2 32" xfId="22881"/>
    <cellStyle name="20% - Accent3 4 2 2 2 32 2" xfId="45656"/>
    <cellStyle name="20% - Accent3 4 2 2 2 33" xfId="23680"/>
    <cellStyle name="20% - Accent3 4 2 2 2 4" xfId="5169"/>
    <cellStyle name="20% - Accent3 4 2 2 2 4 2" xfId="27944"/>
    <cellStyle name="20% - Accent3 4 2 2 2 5" xfId="5825"/>
    <cellStyle name="20% - Accent3 4 2 2 2 5 2" xfId="28600"/>
    <cellStyle name="20% - Accent3 4 2 2 2 6" xfId="6481"/>
    <cellStyle name="20% - Accent3 4 2 2 2 6 2" xfId="29256"/>
    <cellStyle name="20% - Accent3 4 2 2 2 7" xfId="3201"/>
    <cellStyle name="20% - Accent3 4 2 2 2 7 2" xfId="25976"/>
    <cellStyle name="20% - Accent3 4 2 2 2 8" xfId="7137"/>
    <cellStyle name="20% - Accent3 4 2 2 2 8 2" xfId="29912"/>
    <cellStyle name="20% - Accent3 4 2 2 2 9" xfId="7793"/>
    <cellStyle name="20% - Accent3 4 2 2 2 9 2" xfId="30568"/>
    <cellStyle name="20% - Accent3 4 2 2 20" xfId="13369"/>
    <cellStyle name="20% - Accent3 4 2 2 20 2" xfId="36144"/>
    <cellStyle name="20% - Accent3 4 2 2 21" xfId="14025"/>
    <cellStyle name="20% - Accent3 4 2 2 21 2" xfId="36800"/>
    <cellStyle name="20% - Accent3 4 2 2 22" xfId="14681"/>
    <cellStyle name="20% - Accent3 4 2 2 22 2" xfId="37456"/>
    <cellStyle name="20% - Accent3 4 2 2 23" xfId="15337"/>
    <cellStyle name="20% - Accent3 4 2 2 23 2" xfId="38112"/>
    <cellStyle name="20% - Accent3 4 2 2 24" xfId="15993"/>
    <cellStyle name="20% - Accent3 4 2 2 24 2" xfId="38768"/>
    <cellStyle name="20% - Accent3 4 2 2 25" xfId="16649"/>
    <cellStyle name="20% - Accent3 4 2 2 25 2" xfId="39424"/>
    <cellStyle name="20% - Accent3 4 2 2 26" xfId="17305"/>
    <cellStyle name="20% - Accent3 4 2 2 26 2" xfId="40080"/>
    <cellStyle name="20% - Accent3 4 2 2 27" xfId="17961"/>
    <cellStyle name="20% - Accent3 4 2 2 27 2" xfId="40736"/>
    <cellStyle name="20% - Accent3 4 2 2 28" xfId="18617"/>
    <cellStyle name="20% - Accent3 4 2 2 28 2" xfId="41392"/>
    <cellStyle name="20% - Accent3 4 2 2 29" xfId="19273"/>
    <cellStyle name="20% - Accent3 4 2 2 29 2" xfId="42048"/>
    <cellStyle name="20% - Accent3 4 2 2 3" xfId="1233"/>
    <cellStyle name="20% - Accent3 4 2 2 3 2" xfId="2873"/>
    <cellStyle name="20% - Accent3 4 2 2 3 2 2" xfId="25648"/>
    <cellStyle name="20% - Accent3 4 2 2 3 3" xfId="24008"/>
    <cellStyle name="20% - Accent3 4 2 2 30" xfId="19929"/>
    <cellStyle name="20% - Accent3 4 2 2 30 2" xfId="42704"/>
    <cellStyle name="20% - Accent3 4 2 2 31" xfId="20585"/>
    <cellStyle name="20% - Accent3 4 2 2 31 2" xfId="43360"/>
    <cellStyle name="20% - Accent3 4 2 2 32" xfId="21241"/>
    <cellStyle name="20% - Accent3 4 2 2 32 2" xfId="44016"/>
    <cellStyle name="20% - Accent3 4 2 2 33" xfId="21897"/>
    <cellStyle name="20% - Accent3 4 2 2 33 2" xfId="44672"/>
    <cellStyle name="20% - Accent3 4 2 2 34" xfId="22553"/>
    <cellStyle name="20% - Accent3 4 2 2 34 2" xfId="45328"/>
    <cellStyle name="20% - Accent3 4 2 2 35" xfId="23352"/>
    <cellStyle name="20% - Accent3 4 2 2 4" xfId="1889"/>
    <cellStyle name="20% - Accent3 4 2 2 4 2" xfId="3529"/>
    <cellStyle name="20% - Accent3 4 2 2 4 2 2" xfId="26304"/>
    <cellStyle name="20% - Accent3 4 2 2 4 3" xfId="24664"/>
    <cellStyle name="20% - Accent3 4 2 2 5" xfId="4185"/>
    <cellStyle name="20% - Accent3 4 2 2 5 2" xfId="26960"/>
    <cellStyle name="20% - Accent3 4 2 2 6" xfId="4841"/>
    <cellStyle name="20% - Accent3 4 2 2 6 2" xfId="27616"/>
    <cellStyle name="20% - Accent3 4 2 2 7" xfId="5497"/>
    <cellStyle name="20% - Accent3 4 2 2 7 2" xfId="28272"/>
    <cellStyle name="20% - Accent3 4 2 2 8" xfId="6153"/>
    <cellStyle name="20% - Accent3 4 2 2 8 2" xfId="28928"/>
    <cellStyle name="20% - Accent3 4 2 2 9" xfId="2545"/>
    <cellStyle name="20% - Accent3 4 2 2 9 2" xfId="25320"/>
    <cellStyle name="20% - Accent3 4 2 20" xfId="12528"/>
    <cellStyle name="20% - Accent3 4 2 20 2" xfId="35303"/>
    <cellStyle name="20% - Accent3 4 2 21" xfId="13184"/>
    <cellStyle name="20% - Accent3 4 2 21 2" xfId="35959"/>
    <cellStyle name="20% - Accent3 4 2 22" xfId="13840"/>
    <cellStyle name="20% - Accent3 4 2 22 2" xfId="36615"/>
    <cellStyle name="20% - Accent3 4 2 23" xfId="14496"/>
    <cellStyle name="20% - Accent3 4 2 23 2" xfId="37271"/>
    <cellStyle name="20% - Accent3 4 2 24" xfId="15152"/>
    <cellStyle name="20% - Accent3 4 2 24 2" xfId="37927"/>
    <cellStyle name="20% - Accent3 4 2 25" xfId="15808"/>
    <cellStyle name="20% - Accent3 4 2 25 2" xfId="38583"/>
    <cellStyle name="20% - Accent3 4 2 26" xfId="16464"/>
    <cellStyle name="20% - Accent3 4 2 26 2" xfId="39239"/>
    <cellStyle name="20% - Accent3 4 2 27" xfId="17120"/>
    <cellStyle name="20% - Accent3 4 2 27 2" xfId="39895"/>
    <cellStyle name="20% - Accent3 4 2 28" xfId="17776"/>
    <cellStyle name="20% - Accent3 4 2 28 2" xfId="40551"/>
    <cellStyle name="20% - Accent3 4 2 29" xfId="18432"/>
    <cellStyle name="20% - Accent3 4 2 29 2" xfId="41207"/>
    <cellStyle name="20% - Accent3 4 2 3" xfId="720"/>
    <cellStyle name="20% - Accent3 4 2 3 10" xfId="8264"/>
    <cellStyle name="20% - Accent3 4 2 3 10 2" xfId="31039"/>
    <cellStyle name="20% - Accent3 4 2 3 11" xfId="8920"/>
    <cellStyle name="20% - Accent3 4 2 3 11 2" xfId="31695"/>
    <cellStyle name="20% - Accent3 4 2 3 12" xfId="9576"/>
    <cellStyle name="20% - Accent3 4 2 3 12 2" xfId="32351"/>
    <cellStyle name="20% - Accent3 4 2 3 13" xfId="10232"/>
    <cellStyle name="20% - Accent3 4 2 3 13 2" xfId="33007"/>
    <cellStyle name="20% - Accent3 4 2 3 14" xfId="10888"/>
    <cellStyle name="20% - Accent3 4 2 3 14 2" xfId="33663"/>
    <cellStyle name="20% - Accent3 4 2 3 15" xfId="11544"/>
    <cellStyle name="20% - Accent3 4 2 3 15 2" xfId="34319"/>
    <cellStyle name="20% - Accent3 4 2 3 16" xfId="12200"/>
    <cellStyle name="20% - Accent3 4 2 3 16 2" xfId="34975"/>
    <cellStyle name="20% - Accent3 4 2 3 17" xfId="12856"/>
    <cellStyle name="20% - Accent3 4 2 3 17 2" xfId="35631"/>
    <cellStyle name="20% - Accent3 4 2 3 18" xfId="13512"/>
    <cellStyle name="20% - Accent3 4 2 3 18 2" xfId="36287"/>
    <cellStyle name="20% - Accent3 4 2 3 19" xfId="14168"/>
    <cellStyle name="20% - Accent3 4 2 3 19 2" xfId="36943"/>
    <cellStyle name="20% - Accent3 4 2 3 2" xfId="1376"/>
    <cellStyle name="20% - Accent3 4 2 3 2 2" xfId="3672"/>
    <cellStyle name="20% - Accent3 4 2 3 2 2 2" xfId="26447"/>
    <cellStyle name="20% - Accent3 4 2 3 2 3" xfId="24151"/>
    <cellStyle name="20% - Accent3 4 2 3 20" xfId="14824"/>
    <cellStyle name="20% - Accent3 4 2 3 20 2" xfId="37599"/>
    <cellStyle name="20% - Accent3 4 2 3 21" xfId="15480"/>
    <cellStyle name="20% - Accent3 4 2 3 21 2" xfId="38255"/>
    <cellStyle name="20% - Accent3 4 2 3 22" xfId="16136"/>
    <cellStyle name="20% - Accent3 4 2 3 22 2" xfId="38911"/>
    <cellStyle name="20% - Accent3 4 2 3 23" xfId="16792"/>
    <cellStyle name="20% - Accent3 4 2 3 23 2" xfId="39567"/>
    <cellStyle name="20% - Accent3 4 2 3 24" xfId="17448"/>
    <cellStyle name="20% - Accent3 4 2 3 24 2" xfId="40223"/>
    <cellStyle name="20% - Accent3 4 2 3 25" xfId="18104"/>
    <cellStyle name="20% - Accent3 4 2 3 25 2" xfId="40879"/>
    <cellStyle name="20% - Accent3 4 2 3 26" xfId="18760"/>
    <cellStyle name="20% - Accent3 4 2 3 26 2" xfId="41535"/>
    <cellStyle name="20% - Accent3 4 2 3 27" xfId="19416"/>
    <cellStyle name="20% - Accent3 4 2 3 27 2" xfId="42191"/>
    <cellStyle name="20% - Accent3 4 2 3 28" xfId="20072"/>
    <cellStyle name="20% - Accent3 4 2 3 28 2" xfId="42847"/>
    <cellStyle name="20% - Accent3 4 2 3 29" xfId="20728"/>
    <cellStyle name="20% - Accent3 4 2 3 29 2" xfId="43503"/>
    <cellStyle name="20% - Accent3 4 2 3 3" xfId="2032"/>
    <cellStyle name="20% - Accent3 4 2 3 3 2" xfId="4328"/>
    <cellStyle name="20% - Accent3 4 2 3 3 2 2" xfId="27103"/>
    <cellStyle name="20% - Accent3 4 2 3 3 3" xfId="24807"/>
    <cellStyle name="20% - Accent3 4 2 3 30" xfId="21384"/>
    <cellStyle name="20% - Accent3 4 2 3 30 2" xfId="44159"/>
    <cellStyle name="20% - Accent3 4 2 3 31" xfId="22040"/>
    <cellStyle name="20% - Accent3 4 2 3 31 2" xfId="44815"/>
    <cellStyle name="20% - Accent3 4 2 3 32" xfId="22696"/>
    <cellStyle name="20% - Accent3 4 2 3 32 2" xfId="45471"/>
    <cellStyle name="20% - Accent3 4 2 3 33" xfId="23495"/>
    <cellStyle name="20% - Accent3 4 2 3 4" xfId="4984"/>
    <cellStyle name="20% - Accent3 4 2 3 4 2" xfId="27759"/>
    <cellStyle name="20% - Accent3 4 2 3 5" xfId="5640"/>
    <cellStyle name="20% - Accent3 4 2 3 5 2" xfId="28415"/>
    <cellStyle name="20% - Accent3 4 2 3 6" xfId="6296"/>
    <cellStyle name="20% - Accent3 4 2 3 6 2" xfId="29071"/>
    <cellStyle name="20% - Accent3 4 2 3 7" xfId="3016"/>
    <cellStyle name="20% - Accent3 4 2 3 7 2" xfId="25791"/>
    <cellStyle name="20% - Accent3 4 2 3 8" xfId="6952"/>
    <cellStyle name="20% - Accent3 4 2 3 8 2" xfId="29727"/>
    <cellStyle name="20% - Accent3 4 2 3 9" xfId="7608"/>
    <cellStyle name="20% - Accent3 4 2 3 9 2" xfId="30383"/>
    <cellStyle name="20% - Accent3 4 2 30" xfId="19088"/>
    <cellStyle name="20% - Accent3 4 2 30 2" xfId="41863"/>
    <cellStyle name="20% - Accent3 4 2 31" xfId="19744"/>
    <cellStyle name="20% - Accent3 4 2 31 2" xfId="42519"/>
    <cellStyle name="20% - Accent3 4 2 32" xfId="20400"/>
    <cellStyle name="20% - Accent3 4 2 32 2" xfId="43175"/>
    <cellStyle name="20% - Accent3 4 2 33" xfId="21056"/>
    <cellStyle name="20% - Accent3 4 2 33 2" xfId="43831"/>
    <cellStyle name="20% - Accent3 4 2 34" xfId="21712"/>
    <cellStyle name="20% - Accent3 4 2 34 2" xfId="44487"/>
    <cellStyle name="20% - Accent3 4 2 35" xfId="22368"/>
    <cellStyle name="20% - Accent3 4 2 35 2" xfId="45143"/>
    <cellStyle name="20% - Accent3 4 2 36" xfId="23024"/>
    <cellStyle name="20% - Accent3 4 2 4" xfId="393"/>
    <cellStyle name="20% - Accent3 4 2 4 2" xfId="2688"/>
    <cellStyle name="20% - Accent3 4 2 4 2 2" xfId="25463"/>
    <cellStyle name="20% - Accent3 4 2 4 3" xfId="23167"/>
    <cellStyle name="20% - Accent3 4 2 5" xfId="1048"/>
    <cellStyle name="20% - Accent3 4 2 5 2" xfId="3344"/>
    <cellStyle name="20% - Accent3 4 2 5 2 2" xfId="26119"/>
    <cellStyle name="20% - Accent3 4 2 5 3" xfId="23823"/>
    <cellStyle name="20% - Accent3 4 2 6" xfId="1704"/>
    <cellStyle name="20% - Accent3 4 2 6 2" xfId="4000"/>
    <cellStyle name="20% - Accent3 4 2 6 2 2" xfId="26775"/>
    <cellStyle name="20% - Accent3 4 2 6 3" xfId="24479"/>
    <cellStyle name="20% - Accent3 4 2 7" xfId="4656"/>
    <cellStyle name="20% - Accent3 4 2 7 2" xfId="27431"/>
    <cellStyle name="20% - Accent3 4 2 8" xfId="5312"/>
    <cellStyle name="20% - Accent3 4 2 8 2" xfId="28087"/>
    <cellStyle name="20% - Accent3 4 2 9" xfId="5968"/>
    <cellStyle name="20% - Accent3 4 2 9 2" xfId="28743"/>
    <cellStyle name="20% - Accent3 4 20" xfId="11801"/>
    <cellStyle name="20% - Accent3 4 20 2" xfId="34576"/>
    <cellStyle name="20% - Accent3 4 21" xfId="12457"/>
    <cellStyle name="20% - Accent3 4 21 2" xfId="35232"/>
    <cellStyle name="20% - Accent3 4 22" xfId="13113"/>
    <cellStyle name="20% - Accent3 4 22 2" xfId="35888"/>
    <cellStyle name="20% - Accent3 4 23" xfId="13769"/>
    <cellStyle name="20% - Accent3 4 23 2" xfId="36544"/>
    <cellStyle name="20% - Accent3 4 24" xfId="14425"/>
    <cellStyle name="20% - Accent3 4 24 2" xfId="37200"/>
    <cellStyle name="20% - Accent3 4 25" xfId="15081"/>
    <cellStyle name="20% - Accent3 4 25 2" xfId="37856"/>
    <cellStyle name="20% - Accent3 4 26" xfId="15737"/>
    <cellStyle name="20% - Accent3 4 26 2" xfId="38512"/>
    <cellStyle name="20% - Accent3 4 27" xfId="16393"/>
    <cellStyle name="20% - Accent3 4 27 2" xfId="39168"/>
    <cellStyle name="20% - Accent3 4 28" xfId="17049"/>
    <cellStyle name="20% - Accent3 4 28 2" xfId="39824"/>
    <cellStyle name="20% - Accent3 4 29" xfId="17705"/>
    <cellStyle name="20% - Accent3 4 29 2" xfId="40480"/>
    <cellStyle name="20% - Accent3 4 3" xfId="506"/>
    <cellStyle name="20% - Accent3 4 3 10" xfId="6738"/>
    <cellStyle name="20% - Accent3 4 3 10 2" xfId="29513"/>
    <cellStyle name="20% - Accent3 4 3 11" xfId="7394"/>
    <cellStyle name="20% - Accent3 4 3 11 2" xfId="30169"/>
    <cellStyle name="20% - Accent3 4 3 12" xfId="8050"/>
    <cellStyle name="20% - Accent3 4 3 12 2" xfId="30825"/>
    <cellStyle name="20% - Accent3 4 3 13" xfId="8706"/>
    <cellStyle name="20% - Accent3 4 3 13 2" xfId="31481"/>
    <cellStyle name="20% - Accent3 4 3 14" xfId="9362"/>
    <cellStyle name="20% - Accent3 4 3 14 2" xfId="32137"/>
    <cellStyle name="20% - Accent3 4 3 15" xfId="10018"/>
    <cellStyle name="20% - Accent3 4 3 15 2" xfId="32793"/>
    <cellStyle name="20% - Accent3 4 3 16" xfId="10674"/>
    <cellStyle name="20% - Accent3 4 3 16 2" xfId="33449"/>
    <cellStyle name="20% - Accent3 4 3 17" xfId="11330"/>
    <cellStyle name="20% - Accent3 4 3 17 2" xfId="34105"/>
    <cellStyle name="20% - Accent3 4 3 18" xfId="11986"/>
    <cellStyle name="20% - Accent3 4 3 18 2" xfId="34761"/>
    <cellStyle name="20% - Accent3 4 3 19" xfId="12642"/>
    <cellStyle name="20% - Accent3 4 3 19 2" xfId="35417"/>
    <cellStyle name="20% - Accent3 4 3 2" xfId="834"/>
    <cellStyle name="20% - Accent3 4 3 2 10" xfId="8378"/>
    <cellStyle name="20% - Accent3 4 3 2 10 2" xfId="31153"/>
    <cellStyle name="20% - Accent3 4 3 2 11" xfId="9034"/>
    <cellStyle name="20% - Accent3 4 3 2 11 2" xfId="31809"/>
    <cellStyle name="20% - Accent3 4 3 2 12" xfId="9690"/>
    <cellStyle name="20% - Accent3 4 3 2 12 2" xfId="32465"/>
    <cellStyle name="20% - Accent3 4 3 2 13" xfId="10346"/>
    <cellStyle name="20% - Accent3 4 3 2 13 2" xfId="33121"/>
    <cellStyle name="20% - Accent3 4 3 2 14" xfId="11002"/>
    <cellStyle name="20% - Accent3 4 3 2 14 2" xfId="33777"/>
    <cellStyle name="20% - Accent3 4 3 2 15" xfId="11658"/>
    <cellStyle name="20% - Accent3 4 3 2 15 2" xfId="34433"/>
    <cellStyle name="20% - Accent3 4 3 2 16" xfId="12314"/>
    <cellStyle name="20% - Accent3 4 3 2 16 2" xfId="35089"/>
    <cellStyle name="20% - Accent3 4 3 2 17" xfId="12970"/>
    <cellStyle name="20% - Accent3 4 3 2 17 2" xfId="35745"/>
    <cellStyle name="20% - Accent3 4 3 2 18" xfId="13626"/>
    <cellStyle name="20% - Accent3 4 3 2 18 2" xfId="36401"/>
    <cellStyle name="20% - Accent3 4 3 2 19" xfId="14282"/>
    <cellStyle name="20% - Accent3 4 3 2 19 2" xfId="37057"/>
    <cellStyle name="20% - Accent3 4 3 2 2" xfId="1490"/>
    <cellStyle name="20% - Accent3 4 3 2 2 2" xfId="3786"/>
    <cellStyle name="20% - Accent3 4 3 2 2 2 2" xfId="26561"/>
    <cellStyle name="20% - Accent3 4 3 2 2 3" xfId="24265"/>
    <cellStyle name="20% - Accent3 4 3 2 20" xfId="14938"/>
    <cellStyle name="20% - Accent3 4 3 2 20 2" xfId="37713"/>
    <cellStyle name="20% - Accent3 4 3 2 21" xfId="15594"/>
    <cellStyle name="20% - Accent3 4 3 2 21 2" xfId="38369"/>
    <cellStyle name="20% - Accent3 4 3 2 22" xfId="16250"/>
    <cellStyle name="20% - Accent3 4 3 2 22 2" xfId="39025"/>
    <cellStyle name="20% - Accent3 4 3 2 23" xfId="16906"/>
    <cellStyle name="20% - Accent3 4 3 2 23 2" xfId="39681"/>
    <cellStyle name="20% - Accent3 4 3 2 24" xfId="17562"/>
    <cellStyle name="20% - Accent3 4 3 2 24 2" xfId="40337"/>
    <cellStyle name="20% - Accent3 4 3 2 25" xfId="18218"/>
    <cellStyle name="20% - Accent3 4 3 2 25 2" xfId="40993"/>
    <cellStyle name="20% - Accent3 4 3 2 26" xfId="18874"/>
    <cellStyle name="20% - Accent3 4 3 2 26 2" xfId="41649"/>
    <cellStyle name="20% - Accent3 4 3 2 27" xfId="19530"/>
    <cellStyle name="20% - Accent3 4 3 2 27 2" xfId="42305"/>
    <cellStyle name="20% - Accent3 4 3 2 28" xfId="20186"/>
    <cellStyle name="20% - Accent3 4 3 2 28 2" xfId="42961"/>
    <cellStyle name="20% - Accent3 4 3 2 29" xfId="20842"/>
    <cellStyle name="20% - Accent3 4 3 2 29 2" xfId="43617"/>
    <cellStyle name="20% - Accent3 4 3 2 3" xfId="2146"/>
    <cellStyle name="20% - Accent3 4 3 2 3 2" xfId="4442"/>
    <cellStyle name="20% - Accent3 4 3 2 3 2 2" xfId="27217"/>
    <cellStyle name="20% - Accent3 4 3 2 3 3" xfId="24921"/>
    <cellStyle name="20% - Accent3 4 3 2 30" xfId="21498"/>
    <cellStyle name="20% - Accent3 4 3 2 30 2" xfId="44273"/>
    <cellStyle name="20% - Accent3 4 3 2 31" xfId="22154"/>
    <cellStyle name="20% - Accent3 4 3 2 31 2" xfId="44929"/>
    <cellStyle name="20% - Accent3 4 3 2 32" xfId="22810"/>
    <cellStyle name="20% - Accent3 4 3 2 32 2" xfId="45585"/>
    <cellStyle name="20% - Accent3 4 3 2 33" xfId="23609"/>
    <cellStyle name="20% - Accent3 4 3 2 4" xfId="5098"/>
    <cellStyle name="20% - Accent3 4 3 2 4 2" xfId="27873"/>
    <cellStyle name="20% - Accent3 4 3 2 5" xfId="5754"/>
    <cellStyle name="20% - Accent3 4 3 2 5 2" xfId="28529"/>
    <cellStyle name="20% - Accent3 4 3 2 6" xfId="6410"/>
    <cellStyle name="20% - Accent3 4 3 2 6 2" xfId="29185"/>
    <cellStyle name="20% - Accent3 4 3 2 7" xfId="3130"/>
    <cellStyle name="20% - Accent3 4 3 2 7 2" xfId="25905"/>
    <cellStyle name="20% - Accent3 4 3 2 8" xfId="7066"/>
    <cellStyle name="20% - Accent3 4 3 2 8 2" xfId="29841"/>
    <cellStyle name="20% - Accent3 4 3 2 9" xfId="7722"/>
    <cellStyle name="20% - Accent3 4 3 2 9 2" xfId="30497"/>
    <cellStyle name="20% - Accent3 4 3 20" xfId="13298"/>
    <cellStyle name="20% - Accent3 4 3 20 2" xfId="36073"/>
    <cellStyle name="20% - Accent3 4 3 21" xfId="13954"/>
    <cellStyle name="20% - Accent3 4 3 21 2" xfId="36729"/>
    <cellStyle name="20% - Accent3 4 3 22" xfId="14610"/>
    <cellStyle name="20% - Accent3 4 3 22 2" xfId="37385"/>
    <cellStyle name="20% - Accent3 4 3 23" xfId="15266"/>
    <cellStyle name="20% - Accent3 4 3 23 2" xfId="38041"/>
    <cellStyle name="20% - Accent3 4 3 24" xfId="15922"/>
    <cellStyle name="20% - Accent3 4 3 24 2" xfId="38697"/>
    <cellStyle name="20% - Accent3 4 3 25" xfId="16578"/>
    <cellStyle name="20% - Accent3 4 3 25 2" xfId="39353"/>
    <cellStyle name="20% - Accent3 4 3 26" xfId="17234"/>
    <cellStyle name="20% - Accent3 4 3 26 2" xfId="40009"/>
    <cellStyle name="20% - Accent3 4 3 27" xfId="17890"/>
    <cellStyle name="20% - Accent3 4 3 27 2" xfId="40665"/>
    <cellStyle name="20% - Accent3 4 3 28" xfId="18546"/>
    <cellStyle name="20% - Accent3 4 3 28 2" xfId="41321"/>
    <cellStyle name="20% - Accent3 4 3 29" xfId="19202"/>
    <cellStyle name="20% - Accent3 4 3 29 2" xfId="41977"/>
    <cellStyle name="20% - Accent3 4 3 3" xfId="1162"/>
    <cellStyle name="20% - Accent3 4 3 3 2" xfId="2802"/>
    <cellStyle name="20% - Accent3 4 3 3 2 2" xfId="25577"/>
    <cellStyle name="20% - Accent3 4 3 3 3" xfId="23937"/>
    <cellStyle name="20% - Accent3 4 3 30" xfId="19858"/>
    <cellStyle name="20% - Accent3 4 3 30 2" xfId="42633"/>
    <cellStyle name="20% - Accent3 4 3 31" xfId="20514"/>
    <cellStyle name="20% - Accent3 4 3 31 2" xfId="43289"/>
    <cellStyle name="20% - Accent3 4 3 32" xfId="21170"/>
    <cellStyle name="20% - Accent3 4 3 32 2" xfId="43945"/>
    <cellStyle name="20% - Accent3 4 3 33" xfId="21826"/>
    <cellStyle name="20% - Accent3 4 3 33 2" xfId="44601"/>
    <cellStyle name="20% - Accent3 4 3 34" xfId="22482"/>
    <cellStyle name="20% - Accent3 4 3 34 2" xfId="45257"/>
    <cellStyle name="20% - Accent3 4 3 35" xfId="23281"/>
    <cellStyle name="20% - Accent3 4 3 4" xfId="1818"/>
    <cellStyle name="20% - Accent3 4 3 4 2" xfId="3458"/>
    <cellStyle name="20% - Accent3 4 3 4 2 2" xfId="26233"/>
    <cellStyle name="20% - Accent3 4 3 4 3" xfId="24593"/>
    <cellStyle name="20% - Accent3 4 3 5" xfId="4114"/>
    <cellStyle name="20% - Accent3 4 3 5 2" xfId="26889"/>
    <cellStyle name="20% - Accent3 4 3 6" xfId="4770"/>
    <cellStyle name="20% - Accent3 4 3 6 2" xfId="27545"/>
    <cellStyle name="20% - Accent3 4 3 7" xfId="5426"/>
    <cellStyle name="20% - Accent3 4 3 7 2" xfId="28201"/>
    <cellStyle name="20% - Accent3 4 3 8" xfId="6082"/>
    <cellStyle name="20% - Accent3 4 3 8 2" xfId="28857"/>
    <cellStyle name="20% - Accent3 4 3 9" xfId="2474"/>
    <cellStyle name="20% - Accent3 4 3 9 2" xfId="25249"/>
    <cellStyle name="20% - Accent3 4 30" xfId="18361"/>
    <cellStyle name="20% - Accent3 4 30 2" xfId="41136"/>
    <cellStyle name="20% - Accent3 4 31" xfId="19017"/>
    <cellStyle name="20% - Accent3 4 31 2" xfId="41792"/>
    <cellStyle name="20% - Accent3 4 32" xfId="19673"/>
    <cellStyle name="20% - Accent3 4 32 2" xfId="42448"/>
    <cellStyle name="20% - Accent3 4 33" xfId="20329"/>
    <cellStyle name="20% - Accent3 4 33 2" xfId="43104"/>
    <cellStyle name="20% - Accent3 4 34" xfId="20985"/>
    <cellStyle name="20% - Accent3 4 34 2" xfId="43760"/>
    <cellStyle name="20% - Accent3 4 35" xfId="21641"/>
    <cellStyle name="20% - Accent3 4 35 2" xfId="44416"/>
    <cellStyle name="20% - Accent3 4 36" xfId="22297"/>
    <cellStyle name="20% - Accent3 4 36 2" xfId="45072"/>
    <cellStyle name="20% - Accent3 4 37" xfId="236"/>
    <cellStyle name="20% - Accent3 4 38" xfId="22953"/>
    <cellStyle name="20% - Accent3 4 4" xfId="649"/>
    <cellStyle name="20% - Accent3 4 4 10" xfId="8193"/>
    <cellStyle name="20% - Accent3 4 4 10 2" xfId="30968"/>
    <cellStyle name="20% - Accent3 4 4 11" xfId="8849"/>
    <cellStyle name="20% - Accent3 4 4 11 2" xfId="31624"/>
    <cellStyle name="20% - Accent3 4 4 12" xfId="9505"/>
    <cellStyle name="20% - Accent3 4 4 12 2" xfId="32280"/>
    <cellStyle name="20% - Accent3 4 4 13" xfId="10161"/>
    <cellStyle name="20% - Accent3 4 4 13 2" xfId="32936"/>
    <cellStyle name="20% - Accent3 4 4 14" xfId="10817"/>
    <cellStyle name="20% - Accent3 4 4 14 2" xfId="33592"/>
    <cellStyle name="20% - Accent3 4 4 15" xfId="11473"/>
    <cellStyle name="20% - Accent3 4 4 15 2" xfId="34248"/>
    <cellStyle name="20% - Accent3 4 4 16" xfId="12129"/>
    <cellStyle name="20% - Accent3 4 4 16 2" xfId="34904"/>
    <cellStyle name="20% - Accent3 4 4 17" xfId="12785"/>
    <cellStyle name="20% - Accent3 4 4 17 2" xfId="35560"/>
    <cellStyle name="20% - Accent3 4 4 18" xfId="13441"/>
    <cellStyle name="20% - Accent3 4 4 18 2" xfId="36216"/>
    <cellStyle name="20% - Accent3 4 4 19" xfId="14097"/>
    <cellStyle name="20% - Accent3 4 4 19 2" xfId="36872"/>
    <cellStyle name="20% - Accent3 4 4 2" xfId="1305"/>
    <cellStyle name="20% - Accent3 4 4 2 2" xfId="3601"/>
    <cellStyle name="20% - Accent3 4 4 2 2 2" xfId="26376"/>
    <cellStyle name="20% - Accent3 4 4 2 3" xfId="24080"/>
    <cellStyle name="20% - Accent3 4 4 20" xfId="14753"/>
    <cellStyle name="20% - Accent3 4 4 20 2" xfId="37528"/>
    <cellStyle name="20% - Accent3 4 4 21" xfId="15409"/>
    <cellStyle name="20% - Accent3 4 4 21 2" xfId="38184"/>
    <cellStyle name="20% - Accent3 4 4 22" xfId="16065"/>
    <cellStyle name="20% - Accent3 4 4 22 2" xfId="38840"/>
    <cellStyle name="20% - Accent3 4 4 23" xfId="16721"/>
    <cellStyle name="20% - Accent3 4 4 23 2" xfId="39496"/>
    <cellStyle name="20% - Accent3 4 4 24" xfId="17377"/>
    <cellStyle name="20% - Accent3 4 4 24 2" xfId="40152"/>
    <cellStyle name="20% - Accent3 4 4 25" xfId="18033"/>
    <cellStyle name="20% - Accent3 4 4 25 2" xfId="40808"/>
    <cellStyle name="20% - Accent3 4 4 26" xfId="18689"/>
    <cellStyle name="20% - Accent3 4 4 26 2" xfId="41464"/>
    <cellStyle name="20% - Accent3 4 4 27" xfId="19345"/>
    <cellStyle name="20% - Accent3 4 4 27 2" xfId="42120"/>
    <cellStyle name="20% - Accent3 4 4 28" xfId="20001"/>
    <cellStyle name="20% - Accent3 4 4 28 2" xfId="42776"/>
    <cellStyle name="20% - Accent3 4 4 29" xfId="20657"/>
    <cellStyle name="20% - Accent3 4 4 29 2" xfId="43432"/>
    <cellStyle name="20% - Accent3 4 4 3" xfId="1961"/>
    <cellStyle name="20% - Accent3 4 4 3 2" xfId="4257"/>
    <cellStyle name="20% - Accent3 4 4 3 2 2" xfId="27032"/>
    <cellStyle name="20% - Accent3 4 4 3 3" xfId="24736"/>
    <cellStyle name="20% - Accent3 4 4 30" xfId="21313"/>
    <cellStyle name="20% - Accent3 4 4 30 2" xfId="44088"/>
    <cellStyle name="20% - Accent3 4 4 31" xfId="21969"/>
    <cellStyle name="20% - Accent3 4 4 31 2" xfId="44744"/>
    <cellStyle name="20% - Accent3 4 4 32" xfId="22625"/>
    <cellStyle name="20% - Accent3 4 4 32 2" xfId="45400"/>
    <cellStyle name="20% - Accent3 4 4 33" xfId="23424"/>
    <cellStyle name="20% - Accent3 4 4 4" xfId="4913"/>
    <cellStyle name="20% - Accent3 4 4 4 2" xfId="27688"/>
    <cellStyle name="20% - Accent3 4 4 5" xfId="5569"/>
    <cellStyle name="20% - Accent3 4 4 5 2" xfId="28344"/>
    <cellStyle name="20% - Accent3 4 4 6" xfId="6225"/>
    <cellStyle name="20% - Accent3 4 4 6 2" xfId="29000"/>
    <cellStyle name="20% - Accent3 4 4 7" xfId="2945"/>
    <cellStyle name="20% - Accent3 4 4 7 2" xfId="25720"/>
    <cellStyle name="20% - Accent3 4 4 8" xfId="6881"/>
    <cellStyle name="20% - Accent3 4 4 8 2" xfId="29656"/>
    <cellStyle name="20% - Accent3 4 4 9" xfId="7537"/>
    <cellStyle name="20% - Accent3 4 4 9 2" xfId="30312"/>
    <cellStyle name="20% - Accent3 4 5" xfId="322"/>
    <cellStyle name="20% - Accent3 4 5 2" xfId="2617"/>
    <cellStyle name="20% - Accent3 4 5 2 2" xfId="25392"/>
    <cellStyle name="20% - Accent3 4 5 3" xfId="23096"/>
    <cellStyle name="20% - Accent3 4 6" xfId="977"/>
    <cellStyle name="20% - Accent3 4 6 2" xfId="3273"/>
    <cellStyle name="20% - Accent3 4 6 2 2" xfId="26048"/>
    <cellStyle name="20% - Accent3 4 6 3" xfId="23752"/>
    <cellStyle name="20% - Accent3 4 7" xfId="1633"/>
    <cellStyle name="20% - Accent3 4 7 2" xfId="3929"/>
    <cellStyle name="20% - Accent3 4 7 2 2" xfId="26704"/>
    <cellStyle name="20% - Accent3 4 7 3" xfId="24408"/>
    <cellStyle name="20% - Accent3 4 8" xfId="4585"/>
    <cellStyle name="20% - Accent3 4 8 2" xfId="27360"/>
    <cellStyle name="20% - Accent3 4 9" xfId="5241"/>
    <cellStyle name="20% - Accent3 4 9 2" xfId="28016"/>
    <cellStyle name="20% - Accent3 40" xfId="20284"/>
    <cellStyle name="20% - Accent3 40 2" xfId="43059"/>
    <cellStyle name="20% - Accent3 41" xfId="20940"/>
    <cellStyle name="20% - Accent3 41 2" xfId="43715"/>
    <cellStyle name="20% - Accent3 42" xfId="21596"/>
    <cellStyle name="20% - Accent3 42 2" xfId="44371"/>
    <cellStyle name="20% - Accent3 43" xfId="22252"/>
    <cellStyle name="20% - Accent3 43 2" xfId="45027"/>
    <cellStyle name="20% - Accent3 44" xfId="191"/>
    <cellStyle name="20% - Accent3 45" xfId="22908"/>
    <cellStyle name="20% - Accent3 5" xfId="105"/>
    <cellStyle name="20% - Accent3 5 10" xfId="5911"/>
    <cellStyle name="20% - Accent3 5 10 2" xfId="28686"/>
    <cellStyle name="20% - Accent3 5 11" xfId="2303"/>
    <cellStyle name="20% - Accent3 5 11 2" xfId="25078"/>
    <cellStyle name="20% - Accent3 5 12" xfId="6567"/>
    <cellStyle name="20% - Accent3 5 12 2" xfId="29342"/>
    <cellStyle name="20% - Accent3 5 13" xfId="7223"/>
    <cellStyle name="20% - Accent3 5 13 2" xfId="29998"/>
    <cellStyle name="20% - Accent3 5 14" xfId="7879"/>
    <cellStyle name="20% - Accent3 5 14 2" xfId="30654"/>
    <cellStyle name="20% - Accent3 5 15" xfId="8535"/>
    <cellStyle name="20% - Accent3 5 15 2" xfId="31310"/>
    <cellStyle name="20% - Accent3 5 16" xfId="9191"/>
    <cellStyle name="20% - Accent3 5 16 2" xfId="31966"/>
    <cellStyle name="20% - Accent3 5 17" xfId="9847"/>
    <cellStyle name="20% - Accent3 5 17 2" xfId="32622"/>
    <cellStyle name="20% - Accent3 5 18" xfId="10503"/>
    <cellStyle name="20% - Accent3 5 18 2" xfId="33278"/>
    <cellStyle name="20% - Accent3 5 19" xfId="11159"/>
    <cellStyle name="20% - Accent3 5 19 2" xfId="33934"/>
    <cellStyle name="20% - Accent3 5 2" xfId="176"/>
    <cellStyle name="20% - Accent3 5 2 10" xfId="2374"/>
    <cellStyle name="20% - Accent3 5 2 10 2" xfId="25149"/>
    <cellStyle name="20% - Accent3 5 2 11" xfId="6638"/>
    <cellStyle name="20% - Accent3 5 2 11 2" xfId="29413"/>
    <cellStyle name="20% - Accent3 5 2 12" xfId="7294"/>
    <cellStyle name="20% - Accent3 5 2 12 2" xfId="30069"/>
    <cellStyle name="20% - Accent3 5 2 13" xfId="7950"/>
    <cellStyle name="20% - Accent3 5 2 13 2" xfId="30725"/>
    <cellStyle name="20% - Accent3 5 2 14" xfId="8606"/>
    <cellStyle name="20% - Accent3 5 2 14 2" xfId="31381"/>
    <cellStyle name="20% - Accent3 5 2 15" xfId="9262"/>
    <cellStyle name="20% - Accent3 5 2 15 2" xfId="32037"/>
    <cellStyle name="20% - Accent3 5 2 16" xfId="9918"/>
    <cellStyle name="20% - Accent3 5 2 16 2" xfId="32693"/>
    <cellStyle name="20% - Accent3 5 2 17" xfId="10574"/>
    <cellStyle name="20% - Accent3 5 2 17 2" xfId="33349"/>
    <cellStyle name="20% - Accent3 5 2 18" xfId="11230"/>
    <cellStyle name="20% - Accent3 5 2 18 2" xfId="34005"/>
    <cellStyle name="20% - Accent3 5 2 19" xfId="11886"/>
    <cellStyle name="20% - Accent3 5 2 19 2" xfId="34661"/>
    <cellStyle name="20% - Accent3 5 2 2" xfId="590"/>
    <cellStyle name="20% - Accent3 5 2 2 10" xfId="6823"/>
    <cellStyle name="20% - Accent3 5 2 2 10 2" xfId="29598"/>
    <cellStyle name="20% - Accent3 5 2 2 11" xfId="7479"/>
    <cellStyle name="20% - Accent3 5 2 2 11 2" xfId="30254"/>
    <cellStyle name="20% - Accent3 5 2 2 12" xfId="8135"/>
    <cellStyle name="20% - Accent3 5 2 2 12 2" xfId="30910"/>
    <cellStyle name="20% - Accent3 5 2 2 13" xfId="8791"/>
    <cellStyle name="20% - Accent3 5 2 2 13 2" xfId="31566"/>
    <cellStyle name="20% - Accent3 5 2 2 14" xfId="9447"/>
    <cellStyle name="20% - Accent3 5 2 2 14 2" xfId="32222"/>
    <cellStyle name="20% - Accent3 5 2 2 15" xfId="10103"/>
    <cellStyle name="20% - Accent3 5 2 2 15 2" xfId="32878"/>
    <cellStyle name="20% - Accent3 5 2 2 16" xfId="10759"/>
    <cellStyle name="20% - Accent3 5 2 2 16 2" xfId="33534"/>
    <cellStyle name="20% - Accent3 5 2 2 17" xfId="11415"/>
    <cellStyle name="20% - Accent3 5 2 2 17 2" xfId="34190"/>
    <cellStyle name="20% - Accent3 5 2 2 18" xfId="12071"/>
    <cellStyle name="20% - Accent3 5 2 2 18 2" xfId="34846"/>
    <cellStyle name="20% - Accent3 5 2 2 19" xfId="12727"/>
    <cellStyle name="20% - Accent3 5 2 2 19 2" xfId="35502"/>
    <cellStyle name="20% - Accent3 5 2 2 2" xfId="919"/>
    <cellStyle name="20% - Accent3 5 2 2 2 10" xfId="8463"/>
    <cellStyle name="20% - Accent3 5 2 2 2 10 2" xfId="31238"/>
    <cellStyle name="20% - Accent3 5 2 2 2 11" xfId="9119"/>
    <cellStyle name="20% - Accent3 5 2 2 2 11 2" xfId="31894"/>
    <cellStyle name="20% - Accent3 5 2 2 2 12" xfId="9775"/>
    <cellStyle name="20% - Accent3 5 2 2 2 12 2" xfId="32550"/>
    <cellStyle name="20% - Accent3 5 2 2 2 13" xfId="10431"/>
    <cellStyle name="20% - Accent3 5 2 2 2 13 2" xfId="33206"/>
    <cellStyle name="20% - Accent3 5 2 2 2 14" xfId="11087"/>
    <cellStyle name="20% - Accent3 5 2 2 2 14 2" xfId="33862"/>
    <cellStyle name="20% - Accent3 5 2 2 2 15" xfId="11743"/>
    <cellStyle name="20% - Accent3 5 2 2 2 15 2" xfId="34518"/>
    <cellStyle name="20% - Accent3 5 2 2 2 16" xfId="12399"/>
    <cellStyle name="20% - Accent3 5 2 2 2 16 2" xfId="35174"/>
    <cellStyle name="20% - Accent3 5 2 2 2 17" xfId="13055"/>
    <cellStyle name="20% - Accent3 5 2 2 2 17 2" xfId="35830"/>
    <cellStyle name="20% - Accent3 5 2 2 2 18" xfId="13711"/>
    <cellStyle name="20% - Accent3 5 2 2 2 18 2" xfId="36486"/>
    <cellStyle name="20% - Accent3 5 2 2 2 19" xfId="14367"/>
    <cellStyle name="20% - Accent3 5 2 2 2 19 2" xfId="37142"/>
    <cellStyle name="20% - Accent3 5 2 2 2 2" xfId="1575"/>
    <cellStyle name="20% - Accent3 5 2 2 2 2 2" xfId="3871"/>
    <cellStyle name="20% - Accent3 5 2 2 2 2 2 2" xfId="26646"/>
    <cellStyle name="20% - Accent3 5 2 2 2 2 3" xfId="24350"/>
    <cellStyle name="20% - Accent3 5 2 2 2 20" xfId="15023"/>
    <cellStyle name="20% - Accent3 5 2 2 2 20 2" xfId="37798"/>
    <cellStyle name="20% - Accent3 5 2 2 2 21" xfId="15679"/>
    <cellStyle name="20% - Accent3 5 2 2 2 21 2" xfId="38454"/>
    <cellStyle name="20% - Accent3 5 2 2 2 22" xfId="16335"/>
    <cellStyle name="20% - Accent3 5 2 2 2 22 2" xfId="39110"/>
    <cellStyle name="20% - Accent3 5 2 2 2 23" xfId="16991"/>
    <cellStyle name="20% - Accent3 5 2 2 2 23 2" xfId="39766"/>
    <cellStyle name="20% - Accent3 5 2 2 2 24" xfId="17647"/>
    <cellStyle name="20% - Accent3 5 2 2 2 24 2" xfId="40422"/>
    <cellStyle name="20% - Accent3 5 2 2 2 25" xfId="18303"/>
    <cellStyle name="20% - Accent3 5 2 2 2 25 2" xfId="41078"/>
    <cellStyle name="20% - Accent3 5 2 2 2 26" xfId="18959"/>
    <cellStyle name="20% - Accent3 5 2 2 2 26 2" xfId="41734"/>
    <cellStyle name="20% - Accent3 5 2 2 2 27" xfId="19615"/>
    <cellStyle name="20% - Accent3 5 2 2 2 27 2" xfId="42390"/>
    <cellStyle name="20% - Accent3 5 2 2 2 28" xfId="20271"/>
    <cellStyle name="20% - Accent3 5 2 2 2 28 2" xfId="43046"/>
    <cellStyle name="20% - Accent3 5 2 2 2 29" xfId="20927"/>
    <cellStyle name="20% - Accent3 5 2 2 2 29 2" xfId="43702"/>
    <cellStyle name="20% - Accent3 5 2 2 2 3" xfId="2231"/>
    <cellStyle name="20% - Accent3 5 2 2 2 3 2" xfId="4527"/>
    <cellStyle name="20% - Accent3 5 2 2 2 3 2 2" xfId="27302"/>
    <cellStyle name="20% - Accent3 5 2 2 2 3 3" xfId="25006"/>
    <cellStyle name="20% - Accent3 5 2 2 2 30" xfId="21583"/>
    <cellStyle name="20% - Accent3 5 2 2 2 30 2" xfId="44358"/>
    <cellStyle name="20% - Accent3 5 2 2 2 31" xfId="22239"/>
    <cellStyle name="20% - Accent3 5 2 2 2 31 2" xfId="45014"/>
    <cellStyle name="20% - Accent3 5 2 2 2 32" xfId="22895"/>
    <cellStyle name="20% - Accent3 5 2 2 2 32 2" xfId="45670"/>
    <cellStyle name="20% - Accent3 5 2 2 2 33" xfId="23694"/>
    <cellStyle name="20% - Accent3 5 2 2 2 4" xfId="5183"/>
    <cellStyle name="20% - Accent3 5 2 2 2 4 2" xfId="27958"/>
    <cellStyle name="20% - Accent3 5 2 2 2 5" xfId="5839"/>
    <cellStyle name="20% - Accent3 5 2 2 2 5 2" xfId="28614"/>
    <cellStyle name="20% - Accent3 5 2 2 2 6" xfId="6495"/>
    <cellStyle name="20% - Accent3 5 2 2 2 6 2" xfId="29270"/>
    <cellStyle name="20% - Accent3 5 2 2 2 7" xfId="3215"/>
    <cellStyle name="20% - Accent3 5 2 2 2 7 2" xfId="25990"/>
    <cellStyle name="20% - Accent3 5 2 2 2 8" xfId="7151"/>
    <cellStyle name="20% - Accent3 5 2 2 2 8 2" xfId="29926"/>
    <cellStyle name="20% - Accent3 5 2 2 2 9" xfId="7807"/>
    <cellStyle name="20% - Accent3 5 2 2 2 9 2" xfId="30582"/>
    <cellStyle name="20% - Accent3 5 2 2 20" xfId="13383"/>
    <cellStyle name="20% - Accent3 5 2 2 20 2" xfId="36158"/>
    <cellStyle name="20% - Accent3 5 2 2 21" xfId="14039"/>
    <cellStyle name="20% - Accent3 5 2 2 21 2" xfId="36814"/>
    <cellStyle name="20% - Accent3 5 2 2 22" xfId="14695"/>
    <cellStyle name="20% - Accent3 5 2 2 22 2" xfId="37470"/>
    <cellStyle name="20% - Accent3 5 2 2 23" xfId="15351"/>
    <cellStyle name="20% - Accent3 5 2 2 23 2" xfId="38126"/>
    <cellStyle name="20% - Accent3 5 2 2 24" xfId="16007"/>
    <cellStyle name="20% - Accent3 5 2 2 24 2" xfId="38782"/>
    <cellStyle name="20% - Accent3 5 2 2 25" xfId="16663"/>
    <cellStyle name="20% - Accent3 5 2 2 25 2" xfId="39438"/>
    <cellStyle name="20% - Accent3 5 2 2 26" xfId="17319"/>
    <cellStyle name="20% - Accent3 5 2 2 26 2" xfId="40094"/>
    <cellStyle name="20% - Accent3 5 2 2 27" xfId="17975"/>
    <cellStyle name="20% - Accent3 5 2 2 27 2" xfId="40750"/>
    <cellStyle name="20% - Accent3 5 2 2 28" xfId="18631"/>
    <cellStyle name="20% - Accent3 5 2 2 28 2" xfId="41406"/>
    <cellStyle name="20% - Accent3 5 2 2 29" xfId="19287"/>
    <cellStyle name="20% - Accent3 5 2 2 29 2" xfId="42062"/>
    <cellStyle name="20% - Accent3 5 2 2 3" xfId="1247"/>
    <cellStyle name="20% - Accent3 5 2 2 3 2" xfId="2887"/>
    <cellStyle name="20% - Accent3 5 2 2 3 2 2" xfId="25662"/>
    <cellStyle name="20% - Accent3 5 2 2 3 3" xfId="24022"/>
    <cellStyle name="20% - Accent3 5 2 2 30" xfId="19943"/>
    <cellStyle name="20% - Accent3 5 2 2 30 2" xfId="42718"/>
    <cellStyle name="20% - Accent3 5 2 2 31" xfId="20599"/>
    <cellStyle name="20% - Accent3 5 2 2 31 2" xfId="43374"/>
    <cellStyle name="20% - Accent3 5 2 2 32" xfId="21255"/>
    <cellStyle name="20% - Accent3 5 2 2 32 2" xfId="44030"/>
    <cellStyle name="20% - Accent3 5 2 2 33" xfId="21911"/>
    <cellStyle name="20% - Accent3 5 2 2 33 2" xfId="44686"/>
    <cellStyle name="20% - Accent3 5 2 2 34" xfId="22567"/>
    <cellStyle name="20% - Accent3 5 2 2 34 2" xfId="45342"/>
    <cellStyle name="20% - Accent3 5 2 2 35" xfId="23366"/>
    <cellStyle name="20% - Accent3 5 2 2 4" xfId="1903"/>
    <cellStyle name="20% - Accent3 5 2 2 4 2" xfId="3543"/>
    <cellStyle name="20% - Accent3 5 2 2 4 2 2" xfId="26318"/>
    <cellStyle name="20% - Accent3 5 2 2 4 3" xfId="24678"/>
    <cellStyle name="20% - Accent3 5 2 2 5" xfId="4199"/>
    <cellStyle name="20% - Accent3 5 2 2 5 2" xfId="26974"/>
    <cellStyle name="20% - Accent3 5 2 2 6" xfId="4855"/>
    <cellStyle name="20% - Accent3 5 2 2 6 2" xfId="27630"/>
    <cellStyle name="20% - Accent3 5 2 2 7" xfId="5511"/>
    <cellStyle name="20% - Accent3 5 2 2 7 2" xfId="28286"/>
    <cellStyle name="20% - Accent3 5 2 2 8" xfId="6167"/>
    <cellStyle name="20% - Accent3 5 2 2 8 2" xfId="28942"/>
    <cellStyle name="20% - Accent3 5 2 2 9" xfId="2559"/>
    <cellStyle name="20% - Accent3 5 2 2 9 2" xfId="25334"/>
    <cellStyle name="20% - Accent3 5 2 20" xfId="12542"/>
    <cellStyle name="20% - Accent3 5 2 20 2" xfId="35317"/>
    <cellStyle name="20% - Accent3 5 2 21" xfId="13198"/>
    <cellStyle name="20% - Accent3 5 2 21 2" xfId="35973"/>
    <cellStyle name="20% - Accent3 5 2 22" xfId="13854"/>
    <cellStyle name="20% - Accent3 5 2 22 2" xfId="36629"/>
    <cellStyle name="20% - Accent3 5 2 23" xfId="14510"/>
    <cellStyle name="20% - Accent3 5 2 23 2" xfId="37285"/>
    <cellStyle name="20% - Accent3 5 2 24" xfId="15166"/>
    <cellStyle name="20% - Accent3 5 2 24 2" xfId="37941"/>
    <cellStyle name="20% - Accent3 5 2 25" xfId="15822"/>
    <cellStyle name="20% - Accent3 5 2 25 2" xfId="38597"/>
    <cellStyle name="20% - Accent3 5 2 26" xfId="16478"/>
    <cellStyle name="20% - Accent3 5 2 26 2" xfId="39253"/>
    <cellStyle name="20% - Accent3 5 2 27" xfId="17134"/>
    <cellStyle name="20% - Accent3 5 2 27 2" xfId="39909"/>
    <cellStyle name="20% - Accent3 5 2 28" xfId="17790"/>
    <cellStyle name="20% - Accent3 5 2 28 2" xfId="40565"/>
    <cellStyle name="20% - Accent3 5 2 29" xfId="18446"/>
    <cellStyle name="20% - Accent3 5 2 29 2" xfId="41221"/>
    <cellStyle name="20% - Accent3 5 2 3" xfId="734"/>
    <cellStyle name="20% - Accent3 5 2 3 10" xfId="8278"/>
    <cellStyle name="20% - Accent3 5 2 3 10 2" xfId="31053"/>
    <cellStyle name="20% - Accent3 5 2 3 11" xfId="8934"/>
    <cellStyle name="20% - Accent3 5 2 3 11 2" xfId="31709"/>
    <cellStyle name="20% - Accent3 5 2 3 12" xfId="9590"/>
    <cellStyle name="20% - Accent3 5 2 3 12 2" xfId="32365"/>
    <cellStyle name="20% - Accent3 5 2 3 13" xfId="10246"/>
    <cellStyle name="20% - Accent3 5 2 3 13 2" xfId="33021"/>
    <cellStyle name="20% - Accent3 5 2 3 14" xfId="10902"/>
    <cellStyle name="20% - Accent3 5 2 3 14 2" xfId="33677"/>
    <cellStyle name="20% - Accent3 5 2 3 15" xfId="11558"/>
    <cellStyle name="20% - Accent3 5 2 3 15 2" xfId="34333"/>
    <cellStyle name="20% - Accent3 5 2 3 16" xfId="12214"/>
    <cellStyle name="20% - Accent3 5 2 3 16 2" xfId="34989"/>
    <cellStyle name="20% - Accent3 5 2 3 17" xfId="12870"/>
    <cellStyle name="20% - Accent3 5 2 3 17 2" xfId="35645"/>
    <cellStyle name="20% - Accent3 5 2 3 18" xfId="13526"/>
    <cellStyle name="20% - Accent3 5 2 3 18 2" xfId="36301"/>
    <cellStyle name="20% - Accent3 5 2 3 19" xfId="14182"/>
    <cellStyle name="20% - Accent3 5 2 3 19 2" xfId="36957"/>
    <cellStyle name="20% - Accent3 5 2 3 2" xfId="1390"/>
    <cellStyle name="20% - Accent3 5 2 3 2 2" xfId="3686"/>
    <cellStyle name="20% - Accent3 5 2 3 2 2 2" xfId="26461"/>
    <cellStyle name="20% - Accent3 5 2 3 2 3" xfId="24165"/>
    <cellStyle name="20% - Accent3 5 2 3 20" xfId="14838"/>
    <cellStyle name="20% - Accent3 5 2 3 20 2" xfId="37613"/>
    <cellStyle name="20% - Accent3 5 2 3 21" xfId="15494"/>
    <cellStyle name="20% - Accent3 5 2 3 21 2" xfId="38269"/>
    <cellStyle name="20% - Accent3 5 2 3 22" xfId="16150"/>
    <cellStyle name="20% - Accent3 5 2 3 22 2" xfId="38925"/>
    <cellStyle name="20% - Accent3 5 2 3 23" xfId="16806"/>
    <cellStyle name="20% - Accent3 5 2 3 23 2" xfId="39581"/>
    <cellStyle name="20% - Accent3 5 2 3 24" xfId="17462"/>
    <cellStyle name="20% - Accent3 5 2 3 24 2" xfId="40237"/>
    <cellStyle name="20% - Accent3 5 2 3 25" xfId="18118"/>
    <cellStyle name="20% - Accent3 5 2 3 25 2" xfId="40893"/>
    <cellStyle name="20% - Accent3 5 2 3 26" xfId="18774"/>
    <cellStyle name="20% - Accent3 5 2 3 26 2" xfId="41549"/>
    <cellStyle name="20% - Accent3 5 2 3 27" xfId="19430"/>
    <cellStyle name="20% - Accent3 5 2 3 27 2" xfId="42205"/>
    <cellStyle name="20% - Accent3 5 2 3 28" xfId="20086"/>
    <cellStyle name="20% - Accent3 5 2 3 28 2" xfId="42861"/>
    <cellStyle name="20% - Accent3 5 2 3 29" xfId="20742"/>
    <cellStyle name="20% - Accent3 5 2 3 29 2" xfId="43517"/>
    <cellStyle name="20% - Accent3 5 2 3 3" xfId="2046"/>
    <cellStyle name="20% - Accent3 5 2 3 3 2" xfId="4342"/>
    <cellStyle name="20% - Accent3 5 2 3 3 2 2" xfId="27117"/>
    <cellStyle name="20% - Accent3 5 2 3 3 3" xfId="24821"/>
    <cellStyle name="20% - Accent3 5 2 3 30" xfId="21398"/>
    <cellStyle name="20% - Accent3 5 2 3 30 2" xfId="44173"/>
    <cellStyle name="20% - Accent3 5 2 3 31" xfId="22054"/>
    <cellStyle name="20% - Accent3 5 2 3 31 2" xfId="44829"/>
    <cellStyle name="20% - Accent3 5 2 3 32" xfId="22710"/>
    <cellStyle name="20% - Accent3 5 2 3 32 2" xfId="45485"/>
    <cellStyle name="20% - Accent3 5 2 3 33" xfId="23509"/>
    <cellStyle name="20% - Accent3 5 2 3 4" xfId="4998"/>
    <cellStyle name="20% - Accent3 5 2 3 4 2" xfId="27773"/>
    <cellStyle name="20% - Accent3 5 2 3 5" xfId="5654"/>
    <cellStyle name="20% - Accent3 5 2 3 5 2" xfId="28429"/>
    <cellStyle name="20% - Accent3 5 2 3 6" xfId="6310"/>
    <cellStyle name="20% - Accent3 5 2 3 6 2" xfId="29085"/>
    <cellStyle name="20% - Accent3 5 2 3 7" xfId="3030"/>
    <cellStyle name="20% - Accent3 5 2 3 7 2" xfId="25805"/>
    <cellStyle name="20% - Accent3 5 2 3 8" xfId="6966"/>
    <cellStyle name="20% - Accent3 5 2 3 8 2" xfId="29741"/>
    <cellStyle name="20% - Accent3 5 2 3 9" xfId="7622"/>
    <cellStyle name="20% - Accent3 5 2 3 9 2" xfId="30397"/>
    <cellStyle name="20% - Accent3 5 2 30" xfId="19102"/>
    <cellStyle name="20% - Accent3 5 2 30 2" xfId="41877"/>
    <cellStyle name="20% - Accent3 5 2 31" xfId="19758"/>
    <cellStyle name="20% - Accent3 5 2 31 2" xfId="42533"/>
    <cellStyle name="20% - Accent3 5 2 32" xfId="20414"/>
    <cellStyle name="20% - Accent3 5 2 32 2" xfId="43189"/>
    <cellStyle name="20% - Accent3 5 2 33" xfId="21070"/>
    <cellStyle name="20% - Accent3 5 2 33 2" xfId="43845"/>
    <cellStyle name="20% - Accent3 5 2 34" xfId="21726"/>
    <cellStyle name="20% - Accent3 5 2 34 2" xfId="44501"/>
    <cellStyle name="20% - Accent3 5 2 35" xfId="22382"/>
    <cellStyle name="20% - Accent3 5 2 35 2" xfId="45157"/>
    <cellStyle name="20% - Accent3 5 2 36" xfId="23038"/>
    <cellStyle name="20% - Accent3 5 2 4" xfId="407"/>
    <cellStyle name="20% - Accent3 5 2 4 2" xfId="2702"/>
    <cellStyle name="20% - Accent3 5 2 4 2 2" xfId="25477"/>
    <cellStyle name="20% - Accent3 5 2 4 3" xfId="23181"/>
    <cellStyle name="20% - Accent3 5 2 5" xfId="1062"/>
    <cellStyle name="20% - Accent3 5 2 5 2" xfId="3358"/>
    <cellStyle name="20% - Accent3 5 2 5 2 2" xfId="26133"/>
    <cellStyle name="20% - Accent3 5 2 5 3" xfId="23837"/>
    <cellStyle name="20% - Accent3 5 2 6" xfId="1718"/>
    <cellStyle name="20% - Accent3 5 2 6 2" xfId="4014"/>
    <cellStyle name="20% - Accent3 5 2 6 2 2" xfId="26789"/>
    <cellStyle name="20% - Accent3 5 2 6 3" xfId="24493"/>
    <cellStyle name="20% - Accent3 5 2 7" xfId="4670"/>
    <cellStyle name="20% - Accent3 5 2 7 2" xfId="27445"/>
    <cellStyle name="20% - Accent3 5 2 8" xfId="5326"/>
    <cellStyle name="20% - Accent3 5 2 8 2" xfId="28101"/>
    <cellStyle name="20% - Accent3 5 2 9" xfId="5982"/>
    <cellStyle name="20% - Accent3 5 2 9 2" xfId="28757"/>
    <cellStyle name="20% - Accent3 5 20" xfId="11815"/>
    <cellStyle name="20% - Accent3 5 20 2" xfId="34590"/>
    <cellStyle name="20% - Accent3 5 21" xfId="12471"/>
    <cellStyle name="20% - Accent3 5 21 2" xfId="35246"/>
    <cellStyle name="20% - Accent3 5 22" xfId="13127"/>
    <cellStyle name="20% - Accent3 5 22 2" xfId="35902"/>
    <cellStyle name="20% - Accent3 5 23" xfId="13783"/>
    <cellStyle name="20% - Accent3 5 23 2" xfId="36558"/>
    <cellStyle name="20% - Accent3 5 24" xfId="14439"/>
    <cellStyle name="20% - Accent3 5 24 2" xfId="37214"/>
    <cellStyle name="20% - Accent3 5 25" xfId="15095"/>
    <cellStyle name="20% - Accent3 5 25 2" xfId="37870"/>
    <cellStyle name="20% - Accent3 5 26" xfId="15751"/>
    <cellStyle name="20% - Accent3 5 26 2" xfId="38526"/>
    <cellStyle name="20% - Accent3 5 27" xfId="16407"/>
    <cellStyle name="20% - Accent3 5 27 2" xfId="39182"/>
    <cellStyle name="20% - Accent3 5 28" xfId="17063"/>
    <cellStyle name="20% - Accent3 5 28 2" xfId="39838"/>
    <cellStyle name="20% - Accent3 5 29" xfId="17719"/>
    <cellStyle name="20% - Accent3 5 29 2" xfId="40494"/>
    <cellStyle name="20% - Accent3 5 3" xfId="520"/>
    <cellStyle name="20% - Accent3 5 3 10" xfId="6752"/>
    <cellStyle name="20% - Accent3 5 3 10 2" xfId="29527"/>
    <cellStyle name="20% - Accent3 5 3 11" xfId="7408"/>
    <cellStyle name="20% - Accent3 5 3 11 2" xfId="30183"/>
    <cellStyle name="20% - Accent3 5 3 12" xfId="8064"/>
    <cellStyle name="20% - Accent3 5 3 12 2" xfId="30839"/>
    <cellStyle name="20% - Accent3 5 3 13" xfId="8720"/>
    <cellStyle name="20% - Accent3 5 3 13 2" xfId="31495"/>
    <cellStyle name="20% - Accent3 5 3 14" xfId="9376"/>
    <cellStyle name="20% - Accent3 5 3 14 2" xfId="32151"/>
    <cellStyle name="20% - Accent3 5 3 15" xfId="10032"/>
    <cellStyle name="20% - Accent3 5 3 15 2" xfId="32807"/>
    <cellStyle name="20% - Accent3 5 3 16" xfId="10688"/>
    <cellStyle name="20% - Accent3 5 3 16 2" xfId="33463"/>
    <cellStyle name="20% - Accent3 5 3 17" xfId="11344"/>
    <cellStyle name="20% - Accent3 5 3 17 2" xfId="34119"/>
    <cellStyle name="20% - Accent3 5 3 18" xfId="12000"/>
    <cellStyle name="20% - Accent3 5 3 18 2" xfId="34775"/>
    <cellStyle name="20% - Accent3 5 3 19" xfId="12656"/>
    <cellStyle name="20% - Accent3 5 3 19 2" xfId="35431"/>
    <cellStyle name="20% - Accent3 5 3 2" xfId="848"/>
    <cellStyle name="20% - Accent3 5 3 2 10" xfId="8392"/>
    <cellStyle name="20% - Accent3 5 3 2 10 2" xfId="31167"/>
    <cellStyle name="20% - Accent3 5 3 2 11" xfId="9048"/>
    <cellStyle name="20% - Accent3 5 3 2 11 2" xfId="31823"/>
    <cellStyle name="20% - Accent3 5 3 2 12" xfId="9704"/>
    <cellStyle name="20% - Accent3 5 3 2 12 2" xfId="32479"/>
    <cellStyle name="20% - Accent3 5 3 2 13" xfId="10360"/>
    <cellStyle name="20% - Accent3 5 3 2 13 2" xfId="33135"/>
    <cellStyle name="20% - Accent3 5 3 2 14" xfId="11016"/>
    <cellStyle name="20% - Accent3 5 3 2 14 2" xfId="33791"/>
    <cellStyle name="20% - Accent3 5 3 2 15" xfId="11672"/>
    <cellStyle name="20% - Accent3 5 3 2 15 2" xfId="34447"/>
    <cellStyle name="20% - Accent3 5 3 2 16" xfId="12328"/>
    <cellStyle name="20% - Accent3 5 3 2 16 2" xfId="35103"/>
    <cellStyle name="20% - Accent3 5 3 2 17" xfId="12984"/>
    <cellStyle name="20% - Accent3 5 3 2 17 2" xfId="35759"/>
    <cellStyle name="20% - Accent3 5 3 2 18" xfId="13640"/>
    <cellStyle name="20% - Accent3 5 3 2 18 2" xfId="36415"/>
    <cellStyle name="20% - Accent3 5 3 2 19" xfId="14296"/>
    <cellStyle name="20% - Accent3 5 3 2 19 2" xfId="37071"/>
    <cellStyle name="20% - Accent3 5 3 2 2" xfId="1504"/>
    <cellStyle name="20% - Accent3 5 3 2 2 2" xfId="3800"/>
    <cellStyle name="20% - Accent3 5 3 2 2 2 2" xfId="26575"/>
    <cellStyle name="20% - Accent3 5 3 2 2 3" xfId="24279"/>
    <cellStyle name="20% - Accent3 5 3 2 20" xfId="14952"/>
    <cellStyle name="20% - Accent3 5 3 2 20 2" xfId="37727"/>
    <cellStyle name="20% - Accent3 5 3 2 21" xfId="15608"/>
    <cellStyle name="20% - Accent3 5 3 2 21 2" xfId="38383"/>
    <cellStyle name="20% - Accent3 5 3 2 22" xfId="16264"/>
    <cellStyle name="20% - Accent3 5 3 2 22 2" xfId="39039"/>
    <cellStyle name="20% - Accent3 5 3 2 23" xfId="16920"/>
    <cellStyle name="20% - Accent3 5 3 2 23 2" xfId="39695"/>
    <cellStyle name="20% - Accent3 5 3 2 24" xfId="17576"/>
    <cellStyle name="20% - Accent3 5 3 2 24 2" xfId="40351"/>
    <cellStyle name="20% - Accent3 5 3 2 25" xfId="18232"/>
    <cellStyle name="20% - Accent3 5 3 2 25 2" xfId="41007"/>
    <cellStyle name="20% - Accent3 5 3 2 26" xfId="18888"/>
    <cellStyle name="20% - Accent3 5 3 2 26 2" xfId="41663"/>
    <cellStyle name="20% - Accent3 5 3 2 27" xfId="19544"/>
    <cellStyle name="20% - Accent3 5 3 2 27 2" xfId="42319"/>
    <cellStyle name="20% - Accent3 5 3 2 28" xfId="20200"/>
    <cellStyle name="20% - Accent3 5 3 2 28 2" xfId="42975"/>
    <cellStyle name="20% - Accent3 5 3 2 29" xfId="20856"/>
    <cellStyle name="20% - Accent3 5 3 2 29 2" xfId="43631"/>
    <cellStyle name="20% - Accent3 5 3 2 3" xfId="2160"/>
    <cellStyle name="20% - Accent3 5 3 2 3 2" xfId="4456"/>
    <cellStyle name="20% - Accent3 5 3 2 3 2 2" xfId="27231"/>
    <cellStyle name="20% - Accent3 5 3 2 3 3" xfId="24935"/>
    <cellStyle name="20% - Accent3 5 3 2 30" xfId="21512"/>
    <cellStyle name="20% - Accent3 5 3 2 30 2" xfId="44287"/>
    <cellStyle name="20% - Accent3 5 3 2 31" xfId="22168"/>
    <cellStyle name="20% - Accent3 5 3 2 31 2" xfId="44943"/>
    <cellStyle name="20% - Accent3 5 3 2 32" xfId="22824"/>
    <cellStyle name="20% - Accent3 5 3 2 32 2" xfId="45599"/>
    <cellStyle name="20% - Accent3 5 3 2 33" xfId="23623"/>
    <cellStyle name="20% - Accent3 5 3 2 4" xfId="5112"/>
    <cellStyle name="20% - Accent3 5 3 2 4 2" xfId="27887"/>
    <cellStyle name="20% - Accent3 5 3 2 5" xfId="5768"/>
    <cellStyle name="20% - Accent3 5 3 2 5 2" xfId="28543"/>
    <cellStyle name="20% - Accent3 5 3 2 6" xfId="6424"/>
    <cellStyle name="20% - Accent3 5 3 2 6 2" xfId="29199"/>
    <cellStyle name="20% - Accent3 5 3 2 7" xfId="3144"/>
    <cellStyle name="20% - Accent3 5 3 2 7 2" xfId="25919"/>
    <cellStyle name="20% - Accent3 5 3 2 8" xfId="7080"/>
    <cellStyle name="20% - Accent3 5 3 2 8 2" xfId="29855"/>
    <cellStyle name="20% - Accent3 5 3 2 9" xfId="7736"/>
    <cellStyle name="20% - Accent3 5 3 2 9 2" xfId="30511"/>
    <cellStyle name="20% - Accent3 5 3 20" xfId="13312"/>
    <cellStyle name="20% - Accent3 5 3 20 2" xfId="36087"/>
    <cellStyle name="20% - Accent3 5 3 21" xfId="13968"/>
    <cellStyle name="20% - Accent3 5 3 21 2" xfId="36743"/>
    <cellStyle name="20% - Accent3 5 3 22" xfId="14624"/>
    <cellStyle name="20% - Accent3 5 3 22 2" xfId="37399"/>
    <cellStyle name="20% - Accent3 5 3 23" xfId="15280"/>
    <cellStyle name="20% - Accent3 5 3 23 2" xfId="38055"/>
    <cellStyle name="20% - Accent3 5 3 24" xfId="15936"/>
    <cellStyle name="20% - Accent3 5 3 24 2" xfId="38711"/>
    <cellStyle name="20% - Accent3 5 3 25" xfId="16592"/>
    <cellStyle name="20% - Accent3 5 3 25 2" xfId="39367"/>
    <cellStyle name="20% - Accent3 5 3 26" xfId="17248"/>
    <cellStyle name="20% - Accent3 5 3 26 2" xfId="40023"/>
    <cellStyle name="20% - Accent3 5 3 27" xfId="17904"/>
    <cellStyle name="20% - Accent3 5 3 27 2" xfId="40679"/>
    <cellStyle name="20% - Accent3 5 3 28" xfId="18560"/>
    <cellStyle name="20% - Accent3 5 3 28 2" xfId="41335"/>
    <cellStyle name="20% - Accent3 5 3 29" xfId="19216"/>
    <cellStyle name="20% - Accent3 5 3 29 2" xfId="41991"/>
    <cellStyle name="20% - Accent3 5 3 3" xfId="1176"/>
    <cellStyle name="20% - Accent3 5 3 3 2" xfId="2816"/>
    <cellStyle name="20% - Accent3 5 3 3 2 2" xfId="25591"/>
    <cellStyle name="20% - Accent3 5 3 3 3" xfId="23951"/>
    <cellStyle name="20% - Accent3 5 3 30" xfId="19872"/>
    <cellStyle name="20% - Accent3 5 3 30 2" xfId="42647"/>
    <cellStyle name="20% - Accent3 5 3 31" xfId="20528"/>
    <cellStyle name="20% - Accent3 5 3 31 2" xfId="43303"/>
    <cellStyle name="20% - Accent3 5 3 32" xfId="21184"/>
    <cellStyle name="20% - Accent3 5 3 32 2" xfId="43959"/>
    <cellStyle name="20% - Accent3 5 3 33" xfId="21840"/>
    <cellStyle name="20% - Accent3 5 3 33 2" xfId="44615"/>
    <cellStyle name="20% - Accent3 5 3 34" xfId="22496"/>
    <cellStyle name="20% - Accent3 5 3 34 2" xfId="45271"/>
    <cellStyle name="20% - Accent3 5 3 35" xfId="23295"/>
    <cellStyle name="20% - Accent3 5 3 4" xfId="1832"/>
    <cellStyle name="20% - Accent3 5 3 4 2" xfId="3472"/>
    <cellStyle name="20% - Accent3 5 3 4 2 2" xfId="26247"/>
    <cellStyle name="20% - Accent3 5 3 4 3" xfId="24607"/>
    <cellStyle name="20% - Accent3 5 3 5" xfId="4128"/>
    <cellStyle name="20% - Accent3 5 3 5 2" xfId="26903"/>
    <cellStyle name="20% - Accent3 5 3 6" xfId="4784"/>
    <cellStyle name="20% - Accent3 5 3 6 2" xfId="27559"/>
    <cellStyle name="20% - Accent3 5 3 7" xfId="5440"/>
    <cellStyle name="20% - Accent3 5 3 7 2" xfId="28215"/>
    <cellStyle name="20% - Accent3 5 3 8" xfId="6096"/>
    <cellStyle name="20% - Accent3 5 3 8 2" xfId="28871"/>
    <cellStyle name="20% - Accent3 5 3 9" xfId="2488"/>
    <cellStyle name="20% - Accent3 5 3 9 2" xfId="25263"/>
    <cellStyle name="20% - Accent3 5 30" xfId="18375"/>
    <cellStyle name="20% - Accent3 5 30 2" xfId="41150"/>
    <cellStyle name="20% - Accent3 5 31" xfId="19031"/>
    <cellStyle name="20% - Accent3 5 31 2" xfId="41806"/>
    <cellStyle name="20% - Accent3 5 32" xfId="19687"/>
    <cellStyle name="20% - Accent3 5 32 2" xfId="42462"/>
    <cellStyle name="20% - Accent3 5 33" xfId="20343"/>
    <cellStyle name="20% - Accent3 5 33 2" xfId="43118"/>
    <cellStyle name="20% - Accent3 5 34" xfId="20999"/>
    <cellStyle name="20% - Accent3 5 34 2" xfId="43774"/>
    <cellStyle name="20% - Accent3 5 35" xfId="21655"/>
    <cellStyle name="20% - Accent3 5 35 2" xfId="44430"/>
    <cellStyle name="20% - Accent3 5 36" xfId="22311"/>
    <cellStyle name="20% - Accent3 5 36 2" xfId="45086"/>
    <cellStyle name="20% - Accent3 5 37" xfId="250"/>
    <cellStyle name="20% - Accent3 5 38" xfId="22967"/>
    <cellStyle name="20% - Accent3 5 4" xfId="663"/>
    <cellStyle name="20% - Accent3 5 4 10" xfId="8207"/>
    <cellStyle name="20% - Accent3 5 4 10 2" xfId="30982"/>
    <cellStyle name="20% - Accent3 5 4 11" xfId="8863"/>
    <cellStyle name="20% - Accent3 5 4 11 2" xfId="31638"/>
    <cellStyle name="20% - Accent3 5 4 12" xfId="9519"/>
    <cellStyle name="20% - Accent3 5 4 12 2" xfId="32294"/>
    <cellStyle name="20% - Accent3 5 4 13" xfId="10175"/>
    <cellStyle name="20% - Accent3 5 4 13 2" xfId="32950"/>
    <cellStyle name="20% - Accent3 5 4 14" xfId="10831"/>
    <cellStyle name="20% - Accent3 5 4 14 2" xfId="33606"/>
    <cellStyle name="20% - Accent3 5 4 15" xfId="11487"/>
    <cellStyle name="20% - Accent3 5 4 15 2" xfId="34262"/>
    <cellStyle name="20% - Accent3 5 4 16" xfId="12143"/>
    <cellStyle name="20% - Accent3 5 4 16 2" xfId="34918"/>
    <cellStyle name="20% - Accent3 5 4 17" xfId="12799"/>
    <cellStyle name="20% - Accent3 5 4 17 2" xfId="35574"/>
    <cellStyle name="20% - Accent3 5 4 18" xfId="13455"/>
    <cellStyle name="20% - Accent3 5 4 18 2" xfId="36230"/>
    <cellStyle name="20% - Accent3 5 4 19" xfId="14111"/>
    <cellStyle name="20% - Accent3 5 4 19 2" xfId="36886"/>
    <cellStyle name="20% - Accent3 5 4 2" xfId="1319"/>
    <cellStyle name="20% - Accent3 5 4 2 2" xfId="3615"/>
    <cellStyle name="20% - Accent3 5 4 2 2 2" xfId="26390"/>
    <cellStyle name="20% - Accent3 5 4 2 3" xfId="24094"/>
    <cellStyle name="20% - Accent3 5 4 20" xfId="14767"/>
    <cellStyle name="20% - Accent3 5 4 20 2" xfId="37542"/>
    <cellStyle name="20% - Accent3 5 4 21" xfId="15423"/>
    <cellStyle name="20% - Accent3 5 4 21 2" xfId="38198"/>
    <cellStyle name="20% - Accent3 5 4 22" xfId="16079"/>
    <cellStyle name="20% - Accent3 5 4 22 2" xfId="38854"/>
    <cellStyle name="20% - Accent3 5 4 23" xfId="16735"/>
    <cellStyle name="20% - Accent3 5 4 23 2" xfId="39510"/>
    <cellStyle name="20% - Accent3 5 4 24" xfId="17391"/>
    <cellStyle name="20% - Accent3 5 4 24 2" xfId="40166"/>
    <cellStyle name="20% - Accent3 5 4 25" xfId="18047"/>
    <cellStyle name="20% - Accent3 5 4 25 2" xfId="40822"/>
    <cellStyle name="20% - Accent3 5 4 26" xfId="18703"/>
    <cellStyle name="20% - Accent3 5 4 26 2" xfId="41478"/>
    <cellStyle name="20% - Accent3 5 4 27" xfId="19359"/>
    <cellStyle name="20% - Accent3 5 4 27 2" xfId="42134"/>
    <cellStyle name="20% - Accent3 5 4 28" xfId="20015"/>
    <cellStyle name="20% - Accent3 5 4 28 2" xfId="42790"/>
    <cellStyle name="20% - Accent3 5 4 29" xfId="20671"/>
    <cellStyle name="20% - Accent3 5 4 29 2" xfId="43446"/>
    <cellStyle name="20% - Accent3 5 4 3" xfId="1975"/>
    <cellStyle name="20% - Accent3 5 4 3 2" xfId="4271"/>
    <cellStyle name="20% - Accent3 5 4 3 2 2" xfId="27046"/>
    <cellStyle name="20% - Accent3 5 4 3 3" xfId="24750"/>
    <cellStyle name="20% - Accent3 5 4 30" xfId="21327"/>
    <cellStyle name="20% - Accent3 5 4 30 2" xfId="44102"/>
    <cellStyle name="20% - Accent3 5 4 31" xfId="21983"/>
    <cellStyle name="20% - Accent3 5 4 31 2" xfId="44758"/>
    <cellStyle name="20% - Accent3 5 4 32" xfId="22639"/>
    <cellStyle name="20% - Accent3 5 4 32 2" xfId="45414"/>
    <cellStyle name="20% - Accent3 5 4 33" xfId="23438"/>
    <cellStyle name="20% - Accent3 5 4 4" xfId="4927"/>
    <cellStyle name="20% - Accent3 5 4 4 2" xfId="27702"/>
    <cellStyle name="20% - Accent3 5 4 5" xfId="5583"/>
    <cellStyle name="20% - Accent3 5 4 5 2" xfId="28358"/>
    <cellStyle name="20% - Accent3 5 4 6" xfId="6239"/>
    <cellStyle name="20% - Accent3 5 4 6 2" xfId="29014"/>
    <cellStyle name="20% - Accent3 5 4 7" xfId="2959"/>
    <cellStyle name="20% - Accent3 5 4 7 2" xfId="25734"/>
    <cellStyle name="20% - Accent3 5 4 8" xfId="6895"/>
    <cellStyle name="20% - Accent3 5 4 8 2" xfId="29670"/>
    <cellStyle name="20% - Accent3 5 4 9" xfId="7551"/>
    <cellStyle name="20% - Accent3 5 4 9 2" xfId="30326"/>
    <cellStyle name="20% - Accent3 5 5" xfId="336"/>
    <cellStyle name="20% - Accent3 5 5 2" xfId="2631"/>
    <cellStyle name="20% - Accent3 5 5 2 2" xfId="25406"/>
    <cellStyle name="20% - Accent3 5 5 3" xfId="23110"/>
    <cellStyle name="20% - Accent3 5 6" xfId="991"/>
    <cellStyle name="20% - Accent3 5 6 2" xfId="3287"/>
    <cellStyle name="20% - Accent3 5 6 2 2" xfId="26062"/>
    <cellStyle name="20% - Accent3 5 6 3" xfId="23766"/>
    <cellStyle name="20% - Accent3 5 7" xfId="1647"/>
    <cellStyle name="20% - Accent3 5 7 2" xfId="3943"/>
    <cellStyle name="20% - Accent3 5 7 2 2" xfId="26718"/>
    <cellStyle name="20% - Accent3 5 7 3" xfId="24422"/>
    <cellStyle name="20% - Accent3 5 8" xfId="4599"/>
    <cellStyle name="20% - Accent3 5 8 2" xfId="27374"/>
    <cellStyle name="20% - Accent3 5 9" xfId="5255"/>
    <cellStyle name="20% - Accent3 5 9 2" xfId="28030"/>
    <cellStyle name="20% - Accent3 6" xfId="118"/>
    <cellStyle name="20% - Accent3 6 10" xfId="2316"/>
    <cellStyle name="20% - Accent3 6 10 2" xfId="25091"/>
    <cellStyle name="20% - Accent3 6 11" xfId="6580"/>
    <cellStyle name="20% - Accent3 6 11 2" xfId="29355"/>
    <cellStyle name="20% - Accent3 6 12" xfId="7236"/>
    <cellStyle name="20% - Accent3 6 12 2" xfId="30011"/>
    <cellStyle name="20% - Accent3 6 13" xfId="7892"/>
    <cellStyle name="20% - Accent3 6 13 2" xfId="30667"/>
    <cellStyle name="20% - Accent3 6 14" xfId="8548"/>
    <cellStyle name="20% - Accent3 6 14 2" xfId="31323"/>
    <cellStyle name="20% - Accent3 6 15" xfId="9204"/>
    <cellStyle name="20% - Accent3 6 15 2" xfId="31979"/>
    <cellStyle name="20% - Accent3 6 16" xfId="9860"/>
    <cellStyle name="20% - Accent3 6 16 2" xfId="32635"/>
    <cellStyle name="20% - Accent3 6 17" xfId="10516"/>
    <cellStyle name="20% - Accent3 6 17 2" xfId="33291"/>
    <cellStyle name="20% - Accent3 6 18" xfId="11172"/>
    <cellStyle name="20% - Accent3 6 18 2" xfId="33947"/>
    <cellStyle name="20% - Accent3 6 19" xfId="11828"/>
    <cellStyle name="20% - Accent3 6 19 2" xfId="34603"/>
    <cellStyle name="20% - Accent3 6 2" xfId="532"/>
    <cellStyle name="20% - Accent3 6 2 10" xfId="6765"/>
    <cellStyle name="20% - Accent3 6 2 10 2" xfId="29540"/>
    <cellStyle name="20% - Accent3 6 2 11" xfId="7421"/>
    <cellStyle name="20% - Accent3 6 2 11 2" xfId="30196"/>
    <cellStyle name="20% - Accent3 6 2 12" xfId="8077"/>
    <cellStyle name="20% - Accent3 6 2 12 2" xfId="30852"/>
    <cellStyle name="20% - Accent3 6 2 13" xfId="8733"/>
    <cellStyle name="20% - Accent3 6 2 13 2" xfId="31508"/>
    <cellStyle name="20% - Accent3 6 2 14" xfId="9389"/>
    <cellStyle name="20% - Accent3 6 2 14 2" xfId="32164"/>
    <cellStyle name="20% - Accent3 6 2 15" xfId="10045"/>
    <cellStyle name="20% - Accent3 6 2 15 2" xfId="32820"/>
    <cellStyle name="20% - Accent3 6 2 16" xfId="10701"/>
    <cellStyle name="20% - Accent3 6 2 16 2" xfId="33476"/>
    <cellStyle name="20% - Accent3 6 2 17" xfId="11357"/>
    <cellStyle name="20% - Accent3 6 2 17 2" xfId="34132"/>
    <cellStyle name="20% - Accent3 6 2 18" xfId="12013"/>
    <cellStyle name="20% - Accent3 6 2 18 2" xfId="34788"/>
    <cellStyle name="20% - Accent3 6 2 19" xfId="12669"/>
    <cellStyle name="20% - Accent3 6 2 19 2" xfId="35444"/>
    <cellStyle name="20% - Accent3 6 2 2" xfId="861"/>
    <cellStyle name="20% - Accent3 6 2 2 10" xfId="8405"/>
    <cellStyle name="20% - Accent3 6 2 2 10 2" xfId="31180"/>
    <cellStyle name="20% - Accent3 6 2 2 11" xfId="9061"/>
    <cellStyle name="20% - Accent3 6 2 2 11 2" xfId="31836"/>
    <cellStyle name="20% - Accent3 6 2 2 12" xfId="9717"/>
    <cellStyle name="20% - Accent3 6 2 2 12 2" xfId="32492"/>
    <cellStyle name="20% - Accent3 6 2 2 13" xfId="10373"/>
    <cellStyle name="20% - Accent3 6 2 2 13 2" xfId="33148"/>
    <cellStyle name="20% - Accent3 6 2 2 14" xfId="11029"/>
    <cellStyle name="20% - Accent3 6 2 2 14 2" xfId="33804"/>
    <cellStyle name="20% - Accent3 6 2 2 15" xfId="11685"/>
    <cellStyle name="20% - Accent3 6 2 2 15 2" xfId="34460"/>
    <cellStyle name="20% - Accent3 6 2 2 16" xfId="12341"/>
    <cellStyle name="20% - Accent3 6 2 2 16 2" xfId="35116"/>
    <cellStyle name="20% - Accent3 6 2 2 17" xfId="12997"/>
    <cellStyle name="20% - Accent3 6 2 2 17 2" xfId="35772"/>
    <cellStyle name="20% - Accent3 6 2 2 18" xfId="13653"/>
    <cellStyle name="20% - Accent3 6 2 2 18 2" xfId="36428"/>
    <cellStyle name="20% - Accent3 6 2 2 19" xfId="14309"/>
    <cellStyle name="20% - Accent3 6 2 2 19 2" xfId="37084"/>
    <cellStyle name="20% - Accent3 6 2 2 2" xfId="1517"/>
    <cellStyle name="20% - Accent3 6 2 2 2 2" xfId="3813"/>
    <cellStyle name="20% - Accent3 6 2 2 2 2 2" xfId="26588"/>
    <cellStyle name="20% - Accent3 6 2 2 2 3" xfId="24292"/>
    <cellStyle name="20% - Accent3 6 2 2 20" xfId="14965"/>
    <cellStyle name="20% - Accent3 6 2 2 20 2" xfId="37740"/>
    <cellStyle name="20% - Accent3 6 2 2 21" xfId="15621"/>
    <cellStyle name="20% - Accent3 6 2 2 21 2" xfId="38396"/>
    <cellStyle name="20% - Accent3 6 2 2 22" xfId="16277"/>
    <cellStyle name="20% - Accent3 6 2 2 22 2" xfId="39052"/>
    <cellStyle name="20% - Accent3 6 2 2 23" xfId="16933"/>
    <cellStyle name="20% - Accent3 6 2 2 23 2" xfId="39708"/>
    <cellStyle name="20% - Accent3 6 2 2 24" xfId="17589"/>
    <cellStyle name="20% - Accent3 6 2 2 24 2" xfId="40364"/>
    <cellStyle name="20% - Accent3 6 2 2 25" xfId="18245"/>
    <cellStyle name="20% - Accent3 6 2 2 25 2" xfId="41020"/>
    <cellStyle name="20% - Accent3 6 2 2 26" xfId="18901"/>
    <cellStyle name="20% - Accent3 6 2 2 26 2" xfId="41676"/>
    <cellStyle name="20% - Accent3 6 2 2 27" xfId="19557"/>
    <cellStyle name="20% - Accent3 6 2 2 27 2" xfId="42332"/>
    <cellStyle name="20% - Accent3 6 2 2 28" xfId="20213"/>
    <cellStyle name="20% - Accent3 6 2 2 28 2" xfId="42988"/>
    <cellStyle name="20% - Accent3 6 2 2 29" xfId="20869"/>
    <cellStyle name="20% - Accent3 6 2 2 29 2" xfId="43644"/>
    <cellStyle name="20% - Accent3 6 2 2 3" xfId="2173"/>
    <cellStyle name="20% - Accent3 6 2 2 3 2" xfId="4469"/>
    <cellStyle name="20% - Accent3 6 2 2 3 2 2" xfId="27244"/>
    <cellStyle name="20% - Accent3 6 2 2 3 3" xfId="24948"/>
    <cellStyle name="20% - Accent3 6 2 2 30" xfId="21525"/>
    <cellStyle name="20% - Accent3 6 2 2 30 2" xfId="44300"/>
    <cellStyle name="20% - Accent3 6 2 2 31" xfId="22181"/>
    <cellStyle name="20% - Accent3 6 2 2 31 2" xfId="44956"/>
    <cellStyle name="20% - Accent3 6 2 2 32" xfId="22837"/>
    <cellStyle name="20% - Accent3 6 2 2 32 2" xfId="45612"/>
    <cellStyle name="20% - Accent3 6 2 2 33" xfId="23636"/>
    <cellStyle name="20% - Accent3 6 2 2 4" xfId="5125"/>
    <cellStyle name="20% - Accent3 6 2 2 4 2" xfId="27900"/>
    <cellStyle name="20% - Accent3 6 2 2 5" xfId="5781"/>
    <cellStyle name="20% - Accent3 6 2 2 5 2" xfId="28556"/>
    <cellStyle name="20% - Accent3 6 2 2 6" xfId="6437"/>
    <cellStyle name="20% - Accent3 6 2 2 6 2" xfId="29212"/>
    <cellStyle name="20% - Accent3 6 2 2 7" xfId="3157"/>
    <cellStyle name="20% - Accent3 6 2 2 7 2" xfId="25932"/>
    <cellStyle name="20% - Accent3 6 2 2 8" xfId="7093"/>
    <cellStyle name="20% - Accent3 6 2 2 8 2" xfId="29868"/>
    <cellStyle name="20% - Accent3 6 2 2 9" xfId="7749"/>
    <cellStyle name="20% - Accent3 6 2 2 9 2" xfId="30524"/>
    <cellStyle name="20% - Accent3 6 2 20" xfId="13325"/>
    <cellStyle name="20% - Accent3 6 2 20 2" xfId="36100"/>
    <cellStyle name="20% - Accent3 6 2 21" xfId="13981"/>
    <cellStyle name="20% - Accent3 6 2 21 2" xfId="36756"/>
    <cellStyle name="20% - Accent3 6 2 22" xfId="14637"/>
    <cellStyle name="20% - Accent3 6 2 22 2" xfId="37412"/>
    <cellStyle name="20% - Accent3 6 2 23" xfId="15293"/>
    <cellStyle name="20% - Accent3 6 2 23 2" xfId="38068"/>
    <cellStyle name="20% - Accent3 6 2 24" xfId="15949"/>
    <cellStyle name="20% - Accent3 6 2 24 2" xfId="38724"/>
    <cellStyle name="20% - Accent3 6 2 25" xfId="16605"/>
    <cellStyle name="20% - Accent3 6 2 25 2" xfId="39380"/>
    <cellStyle name="20% - Accent3 6 2 26" xfId="17261"/>
    <cellStyle name="20% - Accent3 6 2 26 2" xfId="40036"/>
    <cellStyle name="20% - Accent3 6 2 27" xfId="17917"/>
    <cellStyle name="20% - Accent3 6 2 27 2" xfId="40692"/>
    <cellStyle name="20% - Accent3 6 2 28" xfId="18573"/>
    <cellStyle name="20% - Accent3 6 2 28 2" xfId="41348"/>
    <cellStyle name="20% - Accent3 6 2 29" xfId="19229"/>
    <cellStyle name="20% - Accent3 6 2 29 2" xfId="42004"/>
    <cellStyle name="20% - Accent3 6 2 3" xfId="1189"/>
    <cellStyle name="20% - Accent3 6 2 3 2" xfId="2829"/>
    <cellStyle name="20% - Accent3 6 2 3 2 2" xfId="25604"/>
    <cellStyle name="20% - Accent3 6 2 3 3" xfId="23964"/>
    <cellStyle name="20% - Accent3 6 2 30" xfId="19885"/>
    <cellStyle name="20% - Accent3 6 2 30 2" xfId="42660"/>
    <cellStyle name="20% - Accent3 6 2 31" xfId="20541"/>
    <cellStyle name="20% - Accent3 6 2 31 2" xfId="43316"/>
    <cellStyle name="20% - Accent3 6 2 32" xfId="21197"/>
    <cellStyle name="20% - Accent3 6 2 32 2" xfId="43972"/>
    <cellStyle name="20% - Accent3 6 2 33" xfId="21853"/>
    <cellStyle name="20% - Accent3 6 2 33 2" xfId="44628"/>
    <cellStyle name="20% - Accent3 6 2 34" xfId="22509"/>
    <cellStyle name="20% - Accent3 6 2 34 2" xfId="45284"/>
    <cellStyle name="20% - Accent3 6 2 35" xfId="23308"/>
    <cellStyle name="20% - Accent3 6 2 4" xfId="1845"/>
    <cellStyle name="20% - Accent3 6 2 4 2" xfId="3485"/>
    <cellStyle name="20% - Accent3 6 2 4 2 2" xfId="26260"/>
    <cellStyle name="20% - Accent3 6 2 4 3" xfId="24620"/>
    <cellStyle name="20% - Accent3 6 2 5" xfId="4141"/>
    <cellStyle name="20% - Accent3 6 2 5 2" xfId="26916"/>
    <cellStyle name="20% - Accent3 6 2 6" xfId="4797"/>
    <cellStyle name="20% - Accent3 6 2 6 2" xfId="27572"/>
    <cellStyle name="20% - Accent3 6 2 7" xfId="5453"/>
    <cellStyle name="20% - Accent3 6 2 7 2" xfId="28228"/>
    <cellStyle name="20% - Accent3 6 2 8" xfId="6109"/>
    <cellStyle name="20% - Accent3 6 2 8 2" xfId="28884"/>
    <cellStyle name="20% - Accent3 6 2 9" xfId="2501"/>
    <cellStyle name="20% - Accent3 6 2 9 2" xfId="25276"/>
    <cellStyle name="20% - Accent3 6 20" xfId="12484"/>
    <cellStyle name="20% - Accent3 6 20 2" xfId="35259"/>
    <cellStyle name="20% - Accent3 6 21" xfId="13140"/>
    <cellStyle name="20% - Accent3 6 21 2" xfId="35915"/>
    <cellStyle name="20% - Accent3 6 22" xfId="13796"/>
    <cellStyle name="20% - Accent3 6 22 2" xfId="36571"/>
    <cellStyle name="20% - Accent3 6 23" xfId="14452"/>
    <cellStyle name="20% - Accent3 6 23 2" xfId="37227"/>
    <cellStyle name="20% - Accent3 6 24" xfId="15108"/>
    <cellStyle name="20% - Accent3 6 24 2" xfId="37883"/>
    <cellStyle name="20% - Accent3 6 25" xfId="15764"/>
    <cellStyle name="20% - Accent3 6 25 2" xfId="38539"/>
    <cellStyle name="20% - Accent3 6 26" xfId="16420"/>
    <cellStyle name="20% - Accent3 6 26 2" xfId="39195"/>
    <cellStyle name="20% - Accent3 6 27" xfId="17076"/>
    <cellStyle name="20% - Accent3 6 27 2" xfId="39851"/>
    <cellStyle name="20% - Accent3 6 28" xfId="17732"/>
    <cellStyle name="20% - Accent3 6 28 2" xfId="40507"/>
    <cellStyle name="20% - Accent3 6 29" xfId="18388"/>
    <cellStyle name="20% - Accent3 6 29 2" xfId="41163"/>
    <cellStyle name="20% - Accent3 6 3" xfId="676"/>
    <cellStyle name="20% - Accent3 6 3 10" xfId="8220"/>
    <cellStyle name="20% - Accent3 6 3 10 2" xfId="30995"/>
    <cellStyle name="20% - Accent3 6 3 11" xfId="8876"/>
    <cellStyle name="20% - Accent3 6 3 11 2" xfId="31651"/>
    <cellStyle name="20% - Accent3 6 3 12" xfId="9532"/>
    <cellStyle name="20% - Accent3 6 3 12 2" xfId="32307"/>
    <cellStyle name="20% - Accent3 6 3 13" xfId="10188"/>
    <cellStyle name="20% - Accent3 6 3 13 2" xfId="32963"/>
    <cellStyle name="20% - Accent3 6 3 14" xfId="10844"/>
    <cellStyle name="20% - Accent3 6 3 14 2" xfId="33619"/>
    <cellStyle name="20% - Accent3 6 3 15" xfId="11500"/>
    <cellStyle name="20% - Accent3 6 3 15 2" xfId="34275"/>
    <cellStyle name="20% - Accent3 6 3 16" xfId="12156"/>
    <cellStyle name="20% - Accent3 6 3 16 2" xfId="34931"/>
    <cellStyle name="20% - Accent3 6 3 17" xfId="12812"/>
    <cellStyle name="20% - Accent3 6 3 17 2" xfId="35587"/>
    <cellStyle name="20% - Accent3 6 3 18" xfId="13468"/>
    <cellStyle name="20% - Accent3 6 3 18 2" xfId="36243"/>
    <cellStyle name="20% - Accent3 6 3 19" xfId="14124"/>
    <cellStyle name="20% - Accent3 6 3 19 2" xfId="36899"/>
    <cellStyle name="20% - Accent3 6 3 2" xfId="1332"/>
    <cellStyle name="20% - Accent3 6 3 2 2" xfId="3628"/>
    <cellStyle name="20% - Accent3 6 3 2 2 2" xfId="26403"/>
    <cellStyle name="20% - Accent3 6 3 2 3" xfId="24107"/>
    <cellStyle name="20% - Accent3 6 3 20" xfId="14780"/>
    <cellStyle name="20% - Accent3 6 3 20 2" xfId="37555"/>
    <cellStyle name="20% - Accent3 6 3 21" xfId="15436"/>
    <cellStyle name="20% - Accent3 6 3 21 2" xfId="38211"/>
    <cellStyle name="20% - Accent3 6 3 22" xfId="16092"/>
    <cellStyle name="20% - Accent3 6 3 22 2" xfId="38867"/>
    <cellStyle name="20% - Accent3 6 3 23" xfId="16748"/>
    <cellStyle name="20% - Accent3 6 3 23 2" xfId="39523"/>
    <cellStyle name="20% - Accent3 6 3 24" xfId="17404"/>
    <cellStyle name="20% - Accent3 6 3 24 2" xfId="40179"/>
    <cellStyle name="20% - Accent3 6 3 25" xfId="18060"/>
    <cellStyle name="20% - Accent3 6 3 25 2" xfId="40835"/>
    <cellStyle name="20% - Accent3 6 3 26" xfId="18716"/>
    <cellStyle name="20% - Accent3 6 3 26 2" xfId="41491"/>
    <cellStyle name="20% - Accent3 6 3 27" xfId="19372"/>
    <cellStyle name="20% - Accent3 6 3 27 2" xfId="42147"/>
    <cellStyle name="20% - Accent3 6 3 28" xfId="20028"/>
    <cellStyle name="20% - Accent3 6 3 28 2" xfId="42803"/>
    <cellStyle name="20% - Accent3 6 3 29" xfId="20684"/>
    <cellStyle name="20% - Accent3 6 3 29 2" xfId="43459"/>
    <cellStyle name="20% - Accent3 6 3 3" xfId="1988"/>
    <cellStyle name="20% - Accent3 6 3 3 2" xfId="4284"/>
    <cellStyle name="20% - Accent3 6 3 3 2 2" xfId="27059"/>
    <cellStyle name="20% - Accent3 6 3 3 3" xfId="24763"/>
    <cellStyle name="20% - Accent3 6 3 30" xfId="21340"/>
    <cellStyle name="20% - Accent3 6 3 30 2" xfId="44115"/>
    <cellStyle name="20% - Accent3 6 3 31" xfId="21996"/>
    <cellStyle name="20% - Accent3 6 3 31 2" xfId="44771"/>
    <cellStyle name="20% - Accent3 6 3 32" xfId="22652"/>
    <cellStyle name="20% - Accent3 6 3 32 2" xfId="45427"/>
    <cellStyle name="20% - Accent3 6 3 33" xfId="23451"/>
    <cellStyle name="20% - Accent3 6 3 4" xfId="4940"/>
    <cellStyle name="20% - Accent3 6 3 4 2" xfId="27715"/>
    <cellStyle name="20% - Accent3 6 3 5" xfId="5596"/>
    <cellStyle name="20% - Accent3 6 3 5 2" xfId="28371"/>
    <cellStyle name="20% - Accent3 6 3 6" xfId="6252"/>
    <cellStyle name="20% - Accent3 6 3 6 2" xfId="29027"/>
    <cellStyle name="20% - Accent3 6 3 7" xfId="2972"/>
    <cellStyle name="20% - Accent3 6 3 7 2" xfId="25747"/>
    <cellStyle name="20% - Accent3 6 3 8" xfId="6908"/>
    <cellStyle name="20% - Accent3 6 3 8 2" xfId="29683"/>
    <cellStyle name="20% - Accent3 6 3 9" xfId="7564"/>
    <cellStyle name="20% - Accent3 6 3 9 2" xfId="30339"/>
    <cellStyle name="20% - Accent3 6 30" xfId="19044"/>
    <cellStyle name="20% - Accent3 6 30 2" xfId="41819"/>
    <cellStyle name="20% - Accent3 6 31" xfId="19700"/>
    <cellStyle name="20% - Accent3 6 31 2" xfId="42475"/>
    <cellStyle name="20% - Accent3 6 32" xfId="20356"/>
    <cellStyle name="20% - Accent3 6 32 2" xfId="43131"/>
    <cellStyle name="20% - Accent3 6 33" xfId="21012"/>
    <cellStyle name="20% - Accent3 6 33 2" xfId="43787"/>
    <cellStyle name="20% - Accent3 6 34" xfId="21668"/>
    <cellStyle name="20% - Accent3 6 34 2" xfId="44443"/>
    <cellStyle name="20% - Accent3 6 35" xfId="22324"/>
    <cellStyle name="20% - Accent3 6 35 2" xfId="45099"/>
    <cellStyle name="20% - Accent3 6 36" xfId="263"/>
    <cellStyle name="20% - Accent3 6 37" xfId="22980"/>
    <cellStyle name="20% - Accent3 6 4" xfId="349"/>
    <cellStyle name="20% - Accent3 6 4 2" xfId="2644"/>
    <cellStyle name="20% - Accent3 6 4 2 2" xfId="25419"/>
    <cellStyle name="20% - Accent3 6 4 3" xfId="23123"/>
    <cellStyle name="20% - Accent3 6 5" xfId="1004"/>
    <cellStyle name="20% - Accent3 6 5 2" xfId="3300"/>
    <cellStyle name="20% - Accent3 6 5 2 2" xfId="26075"/>
    <cellStyle name="20% - Accent3 6 5 3" xfId="23779"/>
    <cellStyle name="20% - Accent3 6 6" xfId="1660"/>
    <cellStyle name="20% - Accent3 6 6 2" xfId="3956"/>
    <cellStyle name="20% - Accent3 6 6 2 2" xfId="26731"/>
    <cellStyle name="20% - Accent3 6 6 3" xfId="24435"/>
    <cellStyle name="20% - Accent3 6 7" xfId="4612"/>
    <cellStyle name="20% - Accent3 6 7 2" xfId="27387"/>
    <cellStyle name="20% - Accent3 6 8" xfId="5268"/>
    <cellStyle name="20% - Accent3 6 8 2" xfId="28043"/>
    <cellStyle name="20% - Accent3 6 9" xfId="5924"/>
    <cellStyle name="20% - Accent3 6 9 2" xfId="28699"/>
    <cellStyle name="20% - Accent3 7" xfId="422"/>
    <cellStyle name="20% - Accent3 7 10" xfId="6653"/>
    <cellStyle name="20% - Accent3 7 10 2" xfId="29428"/>
    <cellStyle name="20% - Accent3 7 11" xfId="7309"/>
    <cellStyle name="20% - Accent3 7 11 2" xfId="30084"/>
    <cellStyle name="20% - Accent3 7 12" xfId="7965"/>
    <cellStyle name="20% - Accent3 7 12 2" xfId="30740"/>
    <cellStyle name="20% - Accent3 7 13" xfId="8621"/>
    <cellStyle name="20% - Accent3 7 13 2" xfId="31396"/>
    <cellStyle name="20% - Accent3 7 14" xfId="9277"/>
    <cellStyle name="20% - Accent3 7 14 2" xfId="32052"/>
    <cellStyle name="20% - Accent3 7 15" xfId="9933"/>
    <cellStyle name="20% - Accent3 7 15 2" xfId="32708"/>
    <cellStyle name="20% - Accent3 7 16" xfId="10589"/>
    <cellStyle name="20% - Accent3 7 16 2" xfId="33364"/>
    <cellStyle name="20% - Accent3 7 17" xfId="11245"/>
    <cellStyle name="20% - Accent3 7 17 2" xfId="34020"/>
    <cellStyle name="20% - Accent3 7 18" xfId="11901"/>
    <cellStyle name="20% - Accent3 7 18 2" xfId="34676"/>
    <cellStyle name="20% - Accent3 7 19" xfId="12557"/>
    <cellStyle name="20% - Accent3 7 19 2" xfId="35332"/>
    <cellStyle name="20% - Accent3 7 2" xfId="749"/>
    <cellStyle name="20% - Accent3 7 2 10" xfId="8293"/>
    <cellStyle name="20% - Accent3 7 2 10 2" xfId="31068"/>
    <cellStyle name="20% - Accent3 7 2 11" xfId="8949"/>
    <cellStyle name="20% - Accent3 7 2 11 2" xfId="31724"/>
    <cellStyle name="20% - Accent3 7 2 12" xfId="9605"/>
    <cellStyle name="20% - Accent3 7 2 12 2" xfId="32380"/>
    <cellStyle name="20% - Accent3 7 2 13" xfId="10261"/>
    <cellStyle name="20% - Accent3 7 2 13 2" xfId="33036"/>
    <cellStyle name="20% - Accent3 7 2 14" xfId="10917"/>
    <cellStyle name="20% - Accent3 7 2 14 2" xfId="33692"/>
    <cellStyle name="20% - Accent3 7 2 15" xfId="11573"/>
    <cellStyle name="20% - Accent3 7 2 15 2" xfId="34348"/>
    <cellStyle name="20% - Accent3 7 2 16" xfId="12229"/>
    <cellStyle name="20% - Accent3 7 2 16 2" xfId="35004"/>
    <cellStyle name="20% - Accent3 7 2 17" xfId="12885"/>
    <cellStyle name="20% - Accent3 7 2 17 2" xfId="35660"/>
    <cellStyle name="20% - Accent3 7 2 18" xfId="13541"/>
    <cellStyle name="20% - Accent3 7 2 18 2" xfId="36316"/>
    <cellStyle name="20% - Accent3 7 2 19" xfId="14197"/>
    <cellStyle name="20% - Accent3 7 2 19 2" xfId="36972"/>
    <cellStyle name="20% - Accent3 7 2 2" xfId="1405"/>
    <cellStyle name="20% - Accent3 7 2 2 2" xfId="3701"/>
    <cellStyle name="20% - Accent3 7 2 2 2 2" xfId="26476"/>
    <cellStyle name="20% - Accent3 7 2 2 3" xfId="24180"/>
    <cellStyle name="20% - Accent3 7 2 20" xfId="14853"/>
    <cellStyle name="20% - Accent3 7 2 20 2" xfId="37628"/>
    <cellStyle name="20% - Accent3 7 2 21" xfId="15509"/>
    <cellStyle name="20% - Accent3 7 2 21 2" xfId="38284"/>
    <cellStyle name="20% - Accent3 7 2 22" xfId="16165"/>
    <cellStyle name="20% - Accent3 7 2 22 2" xfId="38940"/>
    <cellStyle name="20% - Accent3 7 2 23" xfId="16821"/>
    <cellStyle name="20% - Accent3 7 2 23 2" xfId="39596"/>
    <cellStyle name="20% - Accent3 7 2 24" xfId="17477"/>
    <cellStyle name="20% - Accent3 7 2 24 2" xfId="40252"/>
    <cellStyle name="20% - Accent3 7 2 25" xfId="18133"/>
    <cellStyle name="20% - Accent3 7 2 25 2" xfId="40908"/>
    <cellStyle name="20% - Accent3 7 2 26" xfId="18789"/>
    <cellStyle name="20% - Accent3 7 2 26 2" xfId="41564"/>
    <cellStyle name="20% - Accent3 7 2 27" xfId="19445"/>
    <cellStyle name="20% - Accent3 7 2 27 2" xfId="42220"/>
    <cellStyle name="20% - Accent3 7 2 28" xfId="20101"/>
    <cellStyle name="20% - Accent3 7 2 28 2" xfId="42876"/>
    <cellStyle name="20% - Accent3 7 2 29" xfId="20757"/>
    <cellStyle name="20% - Accent3 7 2 29 2" xfId="43532"/>
    <cellStyle name="20% - Accent3 7 2 3" xfId="2061"/>
    <cellStyle name="20% - Accent3 7 2 3 2" xfId="4357"/>
    <cellStyle name="20% - Accent3 7 2 3 2 2" xfId="27132"/>
    <cellStyle name="20% - Accent3 7 2 3 3" xfId="24836"/>
    <cellStyle name="20% - Accent3 7 2 30" xfId="21413"/>
    <cellStyle name="20% - Accent3 7 2 30 2" xfId="44188"/>
    <cellStyle name="20% - Accent3 7 2 31" xfId="22069"/>
    <cellStyle name="20% - Accent3 7 2 31 2" xfId="44844"/>
    <cellStyle name="20% - Accent3 7 2 32" xfId="22725"/>
    <cellStyle name="20% - Accent3 7 2 32 2" xfId="45500"/>
    <cellStyle name="20% - Accent3 7 2 33" xfId="23524"/>
    <cellStyle name="20% - Accent3 7 2 4" xfId="5013"/>
    <cellStyle name="20% - Accent3 7 2 4 2" xfId="27788"/>
    <cellStyle name="20% - Accent3 7 2 5" xfId="5669"/>
    <cellStyle name="20% - Accent3 7 2 5 2" xfId="28444"/>
    <cellStyle name="20% - Accent3 7 2 6" xfId="6325"/>
    <cellStyle name="20% - Accent3 7 2 6 2" xfId="29100"/>
    <cellStyle name="20% - Accent3 7 2 7" xfId="3045"/>
    <cellStyle name="20% - Accent3 7 2 7 2" xfId="25820"/>
    <cellStyle name="20% - Accent3 7 2 8" xfId="6981"/>
    <cellStyle name="20% - Accent3 7 2 8 2" xfId="29756"/>
    <cellStyle name="20% - Accent3 7 2 9" xfId="7637"/>
    <cellStyle name="20% - Accent3 7 2 9 2" xfId="30412"/>
    <cellStyle name="20% - Accent3 7 20" xfId="13213"/>
    <cellStyle name="20% - Accent3 7 20 2" xfId="35988"/>
    <cellStyle name="20% - Accent3 7 21" xfId="13869"/>
    <cellStyle name="20% - Accent3 7 21 2" xfId="36644"/>
    <cellStyle name="20% - Accent3 7 22" xfId="14525"/>
    <cellStyle name="20% - Accent3 7 22 2" xfId="37300"/>
    <cellStyle name="20% - Accent3 7 23" xfId="15181"/>
    <cellStyle name="20% - Accent3 7 23 2" xfId="37956"/>
    <cellStyle name="20% - Accent3 7 24" xfId="15837"/>
    <cellStyle name="20% - Accent3 7 24 2" xfId="38612"/>
    <cellStyle name="20% - Accent3 7 25" xfId="16493"/>
    <cellStyle name="20% - Accent3 7 25 2" xfId="39268"/>
    <cellStyle name="20% - Accent3 7 26" xfId="17149"/>
    <cellStyle name="20% - Accent3 7 26 2" xfId="39924"/>
    <cellStyle name="20% - Accent3 7 27" xfId="17805"/>
    <cellStyle name="20% - Accent3 7 27 2" xfId="40580"/>
    <cellStyle name="20% - Accent3 7 28" xfId="18461"/>
    <cellStyle name="20% - Accent3 7 28 2" xfId="41236"/>
    <cellStyle name="20% - Accent3 7 29" xfId="19117"/>
    <cellStyle name="20% - Accent3 7 29 2" xfId="41892"/>
    <cellStyle name="20% - Accent3 7 3" xfId="1077"/>
    <cellStyle name="20% - Accent3 7 3 2" xfId="2717"/>
    <cellStyle name="20% - Accent3 7 3 2 2" xfId="25492"/>
    <cellStyle name="20% - Accent3 7 3 3" xfId="23852"/>
    <cellStyle name="20% - Accent3 7 30" xfId="19773"/>
    <cellStyle name="20% - Accent3 7 30 2" xfId="42548"/>
    <cellStyle name="20% - Accent3 7 31" xfId="20429"/>
    <cellStyle name="20% - Accent3 7 31 2" xfId="43204"/>
    <cellStyle name="20% - Accent3 7 32" xfId="21085"/>
    <cellStyle name="20% - Accent3 7 32 2" xfId="43860"/>
    <cellStyle name="20% - Accent3 7 33" xfId="21741"/>
    <cellStyle name="20% - Accent3 7 33 2" xfId="44516"/>
    <cellStyle name="20% - Accent3 7 34" xfId="22397"/>
    <cellStyle name="20% - Accent3 7 34 2" xfId="45172"/>
    <cellStyle name="20% - Accent3 7 35" xfId="23196"/>
    <cellStyle name="20% - Accent3 7 4" xfId="1733"/>
    <cellStyle name="20% - Accent3 7 4 2" xfId="3373"/>
    <cellStyle name="20% - Accent3 7 4 2 2" xfId="26148"/>
    <cellStyle name="20% - Accent3 7 4 3" xfId="24508"/>
    <cellStyle name="20% - Accent3 7 5" xfId="4029"/>
    <cellStyle name="20% - Accent3 7 5 2" xfId="26804"/>
    <cellStyle name="20% - Accent3 7 6" xfId="4685"/>
    <cellStyle name="20% - Accent3 7 6 2" xfId="27460"/>
    <cellStyle name="20% - Accent3 7 7" xfId="5341"/>
    <cellStyle name="20% - Accent3 7 7 2" xfId="28116"/>
    <cellStyle name="20% - Accent3 7 8" xfId="5997"/>
    <cellStyle name="20% - Accent3 7 8 2" xfId="28772"/>
    <cellStyle name="20% - Accent3 7 9" xfId="2389"/>
    <cellStyle name="20% - Accent3 7 9 2" xfId="25164"/>
    <cellStyle name="20% - Accent3 8" xfId="436"/>
    <cellStyle name="20% - Accent3 8 10" xfId="6667"/>
    <cellStyle name="20% - Accent3 8 10 2" xfId="29442"/>
    <cellStyle name="20% - Accent3 8 11" xfId="7323"/>
    <cellStyle name="20% - Accent3 8 11 2" xfId="30098"/>
    <cellStyle name="20% - Accent3 8 12" xfId="7979"/>
    <cellStyle name="20% - Accent3 8 12 2" xfId="30754"/>
    <cellStyle name="20% - Accent3 8 13" xfId="8635"/>
    <cellStyle name="20% - Accent3 8 13 2" xfId="31410"/>
    <cellStyle name="20% - Accent3 8 14" xfId="9291"/>
    <cellStyle name="20% - Accent3 8 14 2" xfId="32066"/>
    <cellStyle name="20% - Accent3 8 15" xfId="9947"/>
    <cellStyle name="20% - Accent3 8 15 2" xfId="32722"/>
    <cellStyle name="20% - Accent3 8 16" xfId="10603"/>
    <cellStyle name="20% - Accent3 8 16 2" xfId="33378"/>
    <cellStyle name="20% - Accent3 8 17" xfId="11259"/>
    <cellStyle name="20% - Accent3 8 17 2" xfId="34034"/>
    <cellStyle name="20% - Accent3 8 18" xfId="11915"/>
    <cellStyle name="20% - Accent3 8 18 2" xfId="34690"/>
    <cellStyle name="20% - Accent3 8 19" xfId="12571"/>
    <cellStyle name="20% - Accent3 8 19 2" xfId="35346"/>
    <cellStyle name="20% - Accent3 8 2" xfId="763"/>
    <cellStyle name="20% - Accent3 8 2 10" xfId="8307"/>
    <cellStyle name="20% - Accent3 8 2 10 2" xfId="31082"/>
    <cellStyle name="20% - Accent3 8 2 11" xfId="8963"/>
    <cellStyle name="20% - Accent3 8 2 11 2" xfId="31738"/>
    <cellStyle name="20% - Accent3 8 2 12" xfId="9619"/>
    <cellStyle name="20% - Accent3 8 2 12 2" xfId="32394"/>
    <cellStyle name="20% - Accent3 8 2 13" xfId="10275"/>
    <cellStyle name="20% - Accent3 8 2 13 2" xfId="33050"/>
    <cellStyle name="20% - Accent3 8 2 14" xfId="10931"/>
    <cellStyle name="20% - Accent3 8 2 14 2" xfId="33706"/>
    <cellStyle name="20% - Accent3 8 2 15" xfId="11587"/>
    <cellStyle name="20% - Accent3 8 2 15 2" xfId="34362"/>
    <cellStyle name="20% - Accent3 8 2 16" xfId="12243"/>
    <cellStyle name="20% - Accent3 8 2 16 2" xfId="35018"/>
    <cellStyle name="20% - Accent3 8 2 17" xfId="12899"/>
    <cellStyle name="20% - Accent3 8 2 17 2" xfId="35674"/>
    <cellStyle name="20% - Accent3 8 2 18" xfId="13555"/>
    <cellStyle name="20% - Accent3 8 2 18 2" xfId="36330"/>
    <cellStyle name="20% - Accent3 8 2 19" xfId="14211"/>
    <cellStyle name="20% - Accent3 8 2 19 2" xfId="36986"/>
    <cellStyle name="20% - Accent3 8 2 2" xfId="1419"/>
    <cellStyle name="20% - Accent3 8 2 2 2" xfId="3715"/>
    <cellStyle name="20% - Accent3 8 2 2 2 2" xfId="26490"/>
    <cellStyle name="20% - Accent3 8 2 2 3" xfId="24194"/>
    <cellStyle name="20% - Accent3 8 2 20" xfId="14867"/>
    <cellStyle name="20% - Accent3 8 2 20 2" xfId="37642"/>
    <cellStyle name="20% - Accent3 8 2 21" xfId="15523"/>
    <cellStyle name="20% - Accent3 8 2 21 2" xfId="38298"/>
    <cellStyle name="20% - Accent3 8 2 22" xfId="16179"/>
    <cellStyle name="20% - Accent3 8 2 22 2" xfId="38954"/>
    <cellStyle name="20% - Accent3 8 2 23" xfId="16835"/>
    <cellStyle name="20% - Accent3 8 2 23 2" xfId="39610"/>
    <cellStyle name="20% - Accent3 8 2 24" xfId="17491"/>
    <cellStyle name="20% - Accent3 8 2 24 2" xfId="40266"/>
    <cellStyle name="20% - Accent3 8 2 25" xfId="18147"/>
    <cellStyle name="20% - Accent3 8 2 25 2" xfId="40922"/>
    <cellStyle name="20% - Accent3 8 2 26" xfId="18803"/>
    <cellStyle name="20% - Accent3 8 2 26 2" xfId="41578"/>
    <cellStyle name="20% - Accent3 8 2 27" xfId="19459"/>
    <cellStyle name="20% - Accent3 8 2 27 2" xfId="42234"/>
    <cellStyle name="20% - Accent3 8 2 28" xfId="20115"/>
    <cellStyle name="20% - Accent3 8 2 28 2" xfId="42890"/>
    <cellStyle name="20% - Accent3 8 2 29" xfId="20771"/>
    <cellStyle name="20% - Accent3 8 2 29 2" xfId="43546"/>
    <cellStyle name="20% - Accent3 8 2 3" xfId="2075"/>
    <cellStyle name="20% - Accent3 8 2 3 2" xfId="4371"/>
    <cellStyle name="20% - Accent3 8 2 3 2 2" xfId="27146"/>
    <cellStyle name="20% - Accent3 8 2 3 3" xfId="24850"/>
    <cellStyle name="20% - Accent3 8 2 30" xfId="21427"/>
    <cellStyle name="20% - Accent3 8 2 30 2" xfId="44202"/>
    <cellStyle name="20% - Accent3 8 2 31" xfId="22083"/>
    <cellStyle name="20% - Accent3 8 2 31 2" xfId="44858"/>
    <cellStyle name="20% - Accent3 8 2 32" xfId="22739"/>
    <cellStyle name="20% - Accent3 8 2 32 2" xfId="45514"/>
    <cellStyle name="20% - Accent3 8 2 33" xfId="23538"/>
    <cellStyle name="20% - Accent3 8 2 4" xfId="5027"/>
    <cellStyle name="20% - Accent3 8 2 4 2" xfId="27802"/>
    <cellStyle name="20% - Accent3 8 2 5" xfId="5683"/>
    <cellStyle name="20% - Accent3 8 2 5 2" xfId="28458"/>
    <cellStyle name="20% - Accent3 8 2 6" xfId="6339"/>
    <cellStyle name="20% - Accent3 8 2 6 2" xfId="29114"/>
    <cellStyle name="20% - Accent3 8 2 7" xfId="3059"/>
    <cellStyle name="20% - Accent3 8 2 7 2" xfId="25834"/>
    <cellStyle name="20% - Accent3 8 2 8" xfId="6995"/>
    <cellStyle name="20% - Accent3 8 2 8 2" xfId="29770"/>
    <cellStyle name="20% - Accent3 8 2 9" xfId="7651"/>
    <cellStyle name="20% - Accent3 8 2 9 2" xfId="30426"/>
    <cellStyle name="20% - Accent3 8 20" xfId="13227"/>
    <cellStyle name="20% - Accent3 8 20 2" xfId="36002"/>
    <cellStyle name="20% - Accent3 8 21" xfId="13883"/>
    <cellStyle name="20% - Accent3 8 21 2" xfId="36658"/>
    <cellStyle name="20% - Accent3 8 22" xfId="14539"/>
    <cellStyle name="20% - Accent3 8 22 2" xfId="37314"/>
    <cellStyle name="20% - Accent3 8 23" xfId="15195"/>
    <cellStyle name="20% - Accent3 8 23 2" xfId="37970"/>
    <cellStyle name="20% - Accent3 8 24" xfId="15851"/>
    <cellStyle name="20% - Accent3 8 24 2" xfId="38626"/>
    <cellStyle name="20% - Accent3 8 25" xfId="16507"/>
    <cellStyle name="20% - Accent3 8 25 2" xfId="39282"/>
    <cellStyle name="20% - Accent3 8 26" xfId="17163"/>
    <cellStyle name="20% - Accent3 8 26 2" xfId="39938"/>
    <cellStyle name="20% - Accent3 8 27" xfId="17819"/>
    <cellStyle name="20% - Accent3 8 27 2" xfId="40594"/>
    <cellStyle name="20% - Accent3 8 28" xfId="18475"/>
    <cellStyle name="20% - Accent3 8 28 2" xfId="41250"/>
    <cellStyle name="20% - Accent3 8 29" xfId="19131"/>
    <cellStyle name="20% - Accent3 8 29 2" xfId="41906"/>
    <cellStyle name="20% - Accent3 8 3" xfId="1091"/>
    <cellStyle name="20% - Accent3 8 3 2" xfId="2731"/>
    <cellStyle name="20% - Accent3 8 3 2 2" xfId="25506"/>
    <cellStyle name="20% - Accent3 8 3 3" xfId="23866"/>
    <cellStyle name="20% - Accent3 8 30" xfId="19787"/>
    <cellStyle name="20% - Accent3 8 30 2" xfId="42562"/>
    <cellStyle name="20% - Accent3 8 31" xfId="20443"/>
    <cellStyle name="20% - Accent3 8 31 2" xfId="43218"/>
    <cellStyle name="20% - Accent3 8 32" xfId="21099"/>
    <cellStyle name="20% - Accent3 8 32 2" xfId="43874"/>
    <cellStyle name="20% - Accent3 8 33" xfId="21755"/>
    <cellStyle name="20% - Accent3 8 33 2" xfId="44530"/>
    <cellStyle name="20% - Accent3 8 34" xfId="22411"/>
    <cellStyle name="20% - Accent3 8 34 2" xfId="45186"/>
    <cellStyle name="20% - Accent3 8 35" xfId="23210"/>
    <cellStyle name="20% - Accent3 8 4" xfId="1747"/>
    <cellStyle name="20% - Accent3 8 4 2" xfId="3387"/>
    <cellStyle name="20% - Accent3 8 4 2 2" xfId="26162"/>
    <cellStyle name="20% - Accent3 8 4 3" xfId="24522"/>
    <cellStyle name="20% - Accent3 8 5" xfId="4043"/>
    <cellStyle name="20% - Accent3 8 5 2" xfId="26818"/>
    <cellStyle name="20% - Accent3 8 6" xfId="4699"/>
    <cellStyle name="20% - Accent3 8 6 2" xfId="27474"/>
    <cellStyle name="20% - Accent3 8 7" xfId="5355"/>
    <cellStyle name="20% - Accent3 8 7 2" xfId="28130"/>
    <cellStyle name="20% - Accent3 8 8" xfId="6011"/>
    <cellStyle name="20% - Accent3 8 8 2" xfId="28786"/>
    <cellStyle name="20% - Accent3 8 9" xfId="2403"/>
    <cellStyle name="20% - Accent3 8 9 2" xfId="25178"/>
    <cellStyle name="20% - Accent3 9" xfId="450"/>
    <cellStyle name="20% - Accent3 9 10" xfId="6681"/>
    <cellStyle name="20% - Accent3 9 10 2" xfId="29456"/>
    <cellStyle name="20% - Accent3 9 11" xfId="7337"/>
    <cellStyle name="20% - Accent3 9 11 2" xfId="30112"/>
    <cellStyle name="20% - Accent3 9 12" xfId="7993"/>
    <cellStyle name="20% - Accent3 9 12 2" xfId="30768"/>
    <cellStyle name="20% - Accent3 9 13" xfId="8649"/>
    <cellStyle name="20% - Accent3 9 13 2" xfId="31424"/>
    <cellStyle name="20% - Accent3 9 14" xfId="9305"/>
    <cellStyle name="20% - Accent3 9 14 2" xfId="32080"/>
    <cellStyle name="20% - Accent3 9 15" xfId="9961"/>
    <cellStyle name="20% - Accent3 9 15 2" xfId="32736"/>
    <cellStyle name="20% - Accent3 9 16" xfId="10617"/>
    <cellStyle name="20% - Accent3 9 16 2" xfId="33392"/>
    <cellStyle name="20% - Accent3 9 17" xfId="11273"/>
    <cellStyle name="20% - Accent3 9 17 2" xfId="34048"/>
    <cellStyle name="20% - Accent3 9 18" xfId="11929"/>
    <cellStyle name="20% - Accent3 9 18 2" xfId="34704"/>
    <cellStyle name="20% - Accent3 9 19" xfId="12585"/>
    <cellStyle name="20% - Accent3 9 19 2" xfId="35360"/>
    <cellStyle name="20% - Accent3 9 2" xfId="777"/>
    <cellStyle name="20% - Accent3 9 2 10" xfId="8321"/>
    <cellStyle name="20% - Accent3 9 2 10 2" xfId="31096"/>
    <cellStyle name="20% - Accent3 9 2 11" xfId="8977"/>
    <cellStyle name="20% - Accent3 9 2 11 2" xfId="31752"/>
    <cellStyle name="20% - Accent3 9 2 12" xfId="9633"/>
    <cellStyle name="20% - Accent3 9 2 12 2" xfId="32408"/>
    <cellStyle name="20% - Accent3 9 2 13" xfId="10289"/>
    <cellStyle name="20% - Accent3 9 2 13 2" xfId="33064"/>
    <cellStyle name="20% - Accent3 9 2 14" xfId="10945"/>
    <cellStyle name="20% - Accent3 9 2 14 2" xfId="33720"/>
    <cellStyle name="20% - Accent3 9 2 15" xfId="11601"/>
    <cellStyle name="20% - Accent3 9 2 15 2" xfId="34376"/>
    <cellStyle name="20% - Accent3 9 2 16" xfId="12257"/>
    <cellStyle name="20% - Accent3 9 2 16 2" xfId="35032"/>
    <cellStyle name="20% - Accent3 9 2 17" xfId="12913"/>
    <cellStyle name="20% - Accent3 9 2 17 2" xfId="35688"/>
    <cellStyle name="20% - Accent3 9 2 18" xfId="13569"/>
    <cellStyle name="20% - Accent3 9 2 18 2" xfId="36344"/>
    <cellStyle name="20% - Accent3 9 2 19" xfId="14225"/>
    <cellStyle name="20% - Accent3 9 2 19 2" xfId="37000"/>
    <cellStyle name="20% - Accent3 9 2 2" xfId="1433"/>
    <cellStyle name="20% - Accent3 9 2 2 2" xfId="3729"/>
    <cellStyle name="20% - Accent3 9 2 2 2 2" xfId="26504"/>
    <cellStyle name="20% - Accent3 9 2 2 3" xfId="24208"/>
    <cellStyle name="20% - Accent3 9 2 20" xfId="14881"/>
    <cellStyle name="20% - Accent3 9 2 20 2" xfId="37656"/>
    <cellStyle name="20% - Accent3 9 2 21" xfId="15537"/>
    <cellStyle name="20% - Accent3 9 2 21 2" xfId="38312"/>
    <cellStyle name="20% - Accent3 9 2 22" xfId="16193"/>
    <cellStyle name="20% - Accent3 9 2 22 2" xfId="38968"/>
    <cellStyle name="20% - Accent3 9 2 23" xfId="16849"/>
    <cellStyle name="20% - Accent3 9 2 23 2" xfId="39624"/>
    <cellStyle name="20% - Accent3 9 2 24" xfId="17505"/>
    <cellStyle name="20% - Accent3 9 2 24 2" xfId="40280"/>
    <cellStyle name="20% - Accent3 9 2 25" xfId="18161"/>
    <cellStyle name="20% - Accent3 9 2 25 2" xfId="40936"/>
    <cellStyle name="20% - Accent3 9 2 26" xfId="18817"/>
    <cellStyle name="20% - Accent3 9 2 26 2" xfId="41592"/>
    <cellStyle name="20% - Accent3 9 2 27" xfId="19473"/>
    <cellStyle name="20% - Accent3 9 2 27 2" xfId="42248"/>
    <cellStyle name="20% - Accent3 9 2 28" xfId="20129"/>
    <cellStyle name="20% - Accent3 9 2 28 2" xfId="42904"/>
    <cellStyle name="20% - Accent3 9 2 29" xfId="20785"/>
    <cellStyle name="20% - Accent3 9 2 29 2" xfId="43560"/>
    <cellStyle name="20% - Accent3 9 2 3" xfId="2089"/>
    <cellStyle name="20% - Accent3 9 2 3 2" xfId="4385"/>
    <cellStyle name="20% - Accent3 9 2 3 2 2" xfId="27160"/>
    <cellStyle name="20% - Accent3 9 2 3 3" xfId="24864"/>
    <cellStyle name="20% - Accent3 9 2 30" xfId="21441"/>
    <cellStyle name="20% - Accent3 9 2 30 2" xfId="44216"/>
    <cellStyle name="20% - Accent3 9 2 31" xfId="22097"/>
    <cellStyle name="20% - Accent3 9 2 31 2" xfId="44872"/>
    <cellStyle name="20% - Accent3 9 2 32" xfId="22753"/>
    <cellStyle name="20% - Accent3 9 2 32 2" xfId="45528"/>
    <cellStyle name="20% - Accent3 9 2 33" xfId="23552"/>
    <cellStyle name="20% - Accent3 9 2 4" xfId="5041"/>
    <cellStyle name="20% - Accent3 9 2 4 2" xfId="27816"/>
    <cellStyle name="20% - Accent3 9 2 5" xfId="5697"/>
    <cellStyle name="20% - Accent3 9 2 5 2" xfId="28472"/>
    <cellStyle name="20% - Accent3 9 2 6" xfId="6353"/>
    <cellStyle name="20% - Accent3 9 2 6 2" xfId="29128"/>
    <cellStyle name="20% - Accent3 9 2 7" xfId="3073"/>
    <cellStyle name="20% - Accent3 9 2 7 2" xfId="25848"/>
    <cellStyle name="20% - Accent3 9 2 8" xfId="7009"/>
    <cellStyle name="20% - Accent3 9 2 8 2" xfId="29784"/>
    <cellStyle name="20% - Accent3 9 2 9" xfId="7665"/>
    <cellStyle name="20% - Accent3 9 2 9 2" xfId="30440"/>
    <cellStyle name="20% - Accent3 9 20" xfId="13241"/>
    <cellStyle name="20% - Accent3 9 20 2" xfId="36016"/>
    <cellStyle name="20% - Accent3 9 21" xfId="13897"/>
    <cellStyle name="20% - Accent3 9 21 2" xfId="36672"/>
    <cellStyle name="20% - Accent3 9 22" xfId="14553"/>
    <cellStyle name="20% - Accent3 9 22 2" xfId="37328"/>
    <cellStyle name="20% - Accent3 9 23" xfId="15209"/>
    <cellStyle name="20% - Accent3 9 23 2" xfId="37984"/>
    <cellStyle name="20% - Accent3 9 24" xfId="15865"/>
    <cellStyle name="20% - Accent3 9 24 2" xfId="38640"/>
    <cellStyle name="20% - Accent3 9 25" xfId="16521"/>
    <cellStyle name="20% - Accent3 9 25 2" xfId="39296"/>
    <cellStyle name="20% - Accent3 9 26" xfId="17177"/>
    <cellStyle name="20% - Accent3 9 26 2" xfId="39952"/>
    <cellStyle name="20% - Accent3 9 27" xfId="17833"/>
    <cellStyle name="20% - Accent3 9 27 2" xfId="40608"/>
    <cellStyle name="20% - Accent3 9 28" xfId="18489"/>
    <cellStyle name="20% - Accent3 9 28 2" xfId="41264"/>
    <cellStyle name="20% - Accent3 9 29" xfId="19145"/>
    <cellStyle name="20% - Accent3 9 29 2" xfId="41920"/>
    <cellStyle name="20% - Accent3 9 3" xfId="1105"/>
    <cellStyle name="20% - Accent3 9 3 2" xfId="2745"/>
    <cellStyle name="20% - Accent3 9 3 2 2" xfId="25520"/>
    <cellStyle name="20% - Accent3 9 3 3" xfId="23880"/>
    <cellStyle name="20% - Accent3 9 30" xfId="19801"/>
    <cellStyle name="20% - Accent3 9 30 2" xfId="42576"/>
    <cellStyle name="20% - Accent3 9 31" xfId="20457"/>
    <cellStyle name="20% - Accent3 9 31 2" xfId="43232"/>
    <cellStyle name="20% - Accent3 9 32" xfId="21113"/>
    <cellStyle name="20% - Accent3 9 32 2" xfId="43888"/>
    <cellStyle name="20% - Accent3 9 33" xfId="21769"/>
    <cellStyle name="20% - Accent3 9 33 2" xfId="44544"/>
    <cellStyle name="20% - Accent3 9 34" xfId="22425"/>
    <cellStyle name="20% - Accent3 9 34 2" xfId="45200"/>
    <cellStyle name="20% - Accent3 9 35" xfId="23224"/>
    <cellStyle name="20% - Accent3 9 4" xfId="1761"/>
    <cellStyle name="20% - Accent3 9 4 2" xfId="3401"/>
    <cellStyle name="20% - Accent3 9 4 2 2" xfId="26176"/>
    <cellStyle name="20% - Accent3 9 4 3" xfId="24536"/>
    <cellStyle name="20% - Accent3 9 5" xfId="4057"/>
    <cellStyle name="20% - Accent3 9 5 2" xfId="26832"/>
    <cellStyle name="20% - Accent3 9 6" xfId="4713"/>
    <cellStyle name="20% - Accent3 9 6 2" xfId="27488"/>
    <cellStyle name="20% - Accent3 9 7" xfId="5369"/>
    <cellStyle name="20% - Accent3 9 7 2" xfId="28144"/>
    <cellStyle name="20% - Accent3 9 8" xfId="6025"/>
    <cellStyle name="20% - Accent3 9 8 2" xfId="28800"/>
    <cellStyle name="20% - Accent3 9 9" xfId="2417"/>
    <cellStyle name="20% - Accent3 9 9 2" xfId="25192"/>
    <cellStyle name="20% - Accent4" xfId="33" builtinId="42" customBuiltin="1"/>
    <cellStyle name="20% - Accent4 10" xfId="464"/>
    <cellStyle name="20% - Accent4 10 10" xfId="6695"/>
    <cellStyle name="20% - Accent4 10 10 2" xfId="29470"/>
    <cellStyle name="20% - Accent4 10 11" xfId="7351"/>
    <cellStyle name="20% - Accent4 10 11 2" xfId="30126"/>
    <cellStyle name="20% - Accent4 10 12" xfId="8007"/>
    <cellStyle name="20% - Accent4 10 12 2" xfId="30782"/>
    <cellStyle name="20% - Accent4 10 13" xfId="8663"/>
    <cellStyle name="20% - Accent4 10 13 2" xfId="31438"/>
    <cellStyle name="20% - Accent4 10 14" xfId="9319"/>
    <cellStyle name="20% - Accent4 10 14 2" xfId="32094"/>
    <cellStyle name="20% - Accent4 10 15" xfId="9975"/>
    <cellStyle name="20% - Accent4 10 15 2" xfId="32750"/>
    <cellStyle name="20% - Accent4 10 16" xfId="10631"/>
    <cellStyle name="20% - Accent4 10 16 2" xfId="33406"/>
    <cellStyle name="20% - Accent4 10 17" xfId="11287"/>
    <cellStyle name="20% - Accent4 10 17 2" xfId="34062"/>
    <cellStyle name="20% - Accent4 10 18" xfId="11943"/>
    <cellStyle name="20% - Accent4 10 18 2" xfId="34718"/>
    <cellStyle name="20% - Accent4 10 19" xfId="12599"/>
    <cellStyle name="20% - Accent4 10 19 2" xfId="35374"/>
    <cellStyle name="20% - Accent4 10 2" xfId="791"/>
    <cellStyle name="20% - Accent4 10 2 10" xfId="8335"/>
    <cellStyle name="20% - Accent4 10 2 10 2" xfId="31110"/>
    <cellStyle name="20% - Accent4 10 2 11" xfId="8991"/>
    <cellStyle name="20% - Accent4 10 2 11 2" xfId="31766"/>
    <cellStyle name="20% - Accent4 10 2 12" xfId="9647"/>
    <cellStyle name="20% - Accent4 10 2 12 2" xfId="32422"/>
    <cellStyle name="20% - Accent4 10 2 13" xfId="10303"/>
    <cellStyle name="20% - Accent4 10 2 13 2" xfId="33078"/>
    <cellStyle name="20% - Accent4 10 2 14" xfId="10959"/>
    <cellStyle name="20% - Accent4 10 2 14 2" xfId="33734"/>
    <cellStyle name="20% - Accent4 10 2 15" xfId="11615"/>
    <cellStyle name="20% - Accent4 10 2 15 2" xfId="34390"/>
    <cellStyle name="20% - Accent4 10 2 16" xfId="12271"/>
    <cellStyle name="20% - Accent4 10 2 16 2" xfId="35046"/>
    <cellStyle name="20% - Accent4 10 2 17" xfId="12927"/>
    <cellStyle name="20% - Accent4 10 2 17 2" xfId="35702"/>
    <cellStyle name="20% - Accent4 10 2 18" xfId="13583"/>
    <cellStyle name="20% - Accent4 10 2 18 2" xfId="36358"/>
    <cellStyle name="20% - Accent4 10 2 19" xfId="14239"/>
    <cellStyle name="20% - Accent4 10 2 19 2" xfId="37014"/>
    <cellStyle name="20% - Accent4 10 2 2" xfId="1447"/>
    <cellStyle name="20% - Accent4 10 2 2 2" xfId="3743"/>
    <cellStyle name="20% - Accent4 10 2 2 2 2" xfId="26518"/>
    <cellStyle name="20% - Accent4 10 2 2 3" xfId="24222"/>
    <cellStyle name="20% - Accent4 10 2 20" xfId="14895"/>
    <cellStyle name="20% - Accent4 10 2 20 2" xfId="37670"/>
    <cellStyle name="20% - Accent4 10 2 21" xfId="15551"/>
    <cellStyle name="20% - Accent4 10 2 21 2" xfId="38326"/>
    <cellStyle name="20% - Accent4 10 2 22" xfId="16207"/>
    <cellStyle name="20% - Accent4 10 2 22 2" xfId="38982"/>
    <cellStyle name="20% - Accent4 10 2 23" xfId="16863"/>
    <cellStyle name="20% - Accent4 10 2 23 2" xfId="39638"/>
    <cellStyle name="20% - Accent4 10 2 24" xfId="17519"/>
    <cellStyle name="20% - Accent4 10 2 24 2" xfId="40294"/>
    <cellStyle name="20% - Accent4 10 2 25" xfId="18175"/>
    <cellStyle name="20% - Accent4 10 2 25 2" xfId="40950"/>
    <cellStyle name="20% - Accent4 10 2 26" xfId="18831"/>
    <cellStyle name="20% - Accent4 10 2 26 2" xfId="41606"/>
    <cellStyle name="20% - Accent4 10 2 27" xfId="19487"/>
    <cellStyle name="20% - Accent4 10 2 27 2" xfId="42262"/>
    <cellStyle name="20% - Accent4 10 2 28" xfId="20143"/>
    <cellStyle name="20% - Accent4 10 2 28 2" xfId="42918"/>
    <cellStyle name="20% - Accent4 10 2 29" xfId="20799"/>
    <cellStyle name="20% - Accent4 10 2 29 2" xfId="43574"/>
    <cellStyle name="20% - Accent4 10 2 3" xfId="2103"/>
    <cellStyle name="20% - Accent4 10 2 3 2" xfId="4399"/>
    <cellStyle name="20% - Accent4 10 2 3 2 2" xfId="27174"/>
    <cellStyle name="20% - Accent4 10 2 3 3" xfId="24878"/>
    <cellStyle name="20% - Accent4 10 2 30" xfId="21455"/>
    <cellStyle name="20% - Accent4 10 2 30 2" xfId="44230"/>
    <cellStyle name="20% - Accent4 10 2 31" xfId="22111"/>
    <cellStyle name="20% - Accent4 10 2 31 2" xfId="44886"/>
    <cellStyle name="20% - Accent4 10 2 32" xfId="22767"/>
    <cellStyle name="20% - Accent4 10 2 32 2" xfId="45542"/>
    <cellStyle name="20% - Accent4 10 2 33" xfId="23566"/>
    <cellStyle name="20% - Accent4 10 2 4" xfId="5055"/>
    <cellStyle name="20% - Accent4 10 2 4 2" xfId="27830"/>
    <cellStyle name="20% - Accent4 10 2 5" xfId="5711"/>
    <cellStyle name="20% - Accent4 10 2 5 2" xfId="28486"/>
    <cellStyle name="20% - Accent4 10 2 6" xfId="6367"/>
    <cellStyle name="20% - Accent4 10 2 6 2" xfId="29142"/>
    <cellStyle name="20% - Accent4 10 2 7" xfId="3087"/>
    <cellStyle name="20% - Accent4 10 2 7 2" xfId="25862"/>
    <cellStyle name="20% - Accent4 10 2 8" xfId="7023"/>
    <cellStyle name="20% - Accent4 10 2 8 2" xfId="29798"/>
    <cellStyle name="20% - Accent4 10 2 9" xfId="7679"/>
    <cellStyle name="20% - Accent4 10 2 9 2" xfId="30454"/>
    <cellStyle name="20% - Accent4 10 20" xfId="13255"/>
    <cellStyle name="20% - Accent4 10 20 2" xfId="36030"/>
    <cellStyle name="20% - Accent4 10 21" xfId="13911"/>
    <cellStyle name="20% - Accent4 10 21 2" xfId="36686"/>
    <cellStyle name="20% - Accent4 10 22" xfId="14567"/>
    <cellStyle name="20% - Accent4 10 22 2" xfId="37342"/>
    <cellStyle name="20% - Accent4 10 23" xfId="15223"/>
    <cellStyle name="20% - Accent4 10 23 2" xfId="37998"/>
    <cellStyle name="20% - Accent4 10 24" xfId="15879"/>
    <cellStyle name="20% - Accent4 10 24 2" xfId="38654"/>
    <cellStyle name="20% - Accent4 10 25" xfId="16535"/>
    <cellStyle name="20% - Accent4 10 25 2" xfId="39310"/>
    <cellStyle name="20% - Accent4 10 26" xfId="17191"/>
    <cellStyle name="20% - Accent4 10 26 2" xfId="39966"/>
    <cellStyle name="20% - Accent4 10 27" xfId="17847"/>
    <cellStyle name="20% - Accent4 10 27 2" xfId="40622"/>
    <cellStyle name="20% - Accent4 10 28" xfId="18503"/>
    <cellStyle name="20% - Accent4 10 28 2" xfId="41278"/>
    <cellStyle name="20% - Accent4 10 29" xfId="19159"/>
    <cellStyle name="20% - Accent4 10 29 2" xfId="41934"/>
    <cellStyle name="20% - Accent4 10 3" xfId="1119"/>
    <cellStyle name="20% - Accent4 10 3 2" xfId="2759"/>
    <cellStyle name="20% - Accent4 10 3 2 2" xfId="25534"/>
    <cellStyle name="20% - Accent4 10 3 3" xfId="23894"/>
    <cellStyle name="20% - Accent4 10 30" xfId="19815"/>
    <cellStyle name="20% - Accent4 10 30 2" xfId="42590"/>
    <cellStyle name="20% - Accent4 10 31" xfId="20471"/>
    <cellStyle name="20% - Accent4 10 31 2" xfId="43246"/>
    <cellStyle name="20% - Accent4 10 32" xfId="21127"/>
    <cellStyle name="20% - Accent4 10 32 2" xfId="43902"/>
    <cellStyle name="20% - Accent4 10 33" xfId="21783"/>
    <cellStyle name="20% - Accent4 10 33 2" xfId="44558"/>
    <cellStyle name="20% - Accent4 10 34" xfId="22439"/>
    <cellStyle name="20% - Accent4 10 34 2" xfId="45214"/>
    <cellStyle name="20% - Accent4 10 35" xfId="23238"/>
    <cellStyle name="20% - Accent4 10 4" xfId="1775"/>
    <cellStyle name="20% - Accent4 10 4 2" xfId="3415"/>
    <cellStyle name="20% - Accent4 10 4 2 2" xfId="26190"/>
    <cellStyle name="20% - Accent4 10 4 3" xfId="24550"/>
    <cellStyle name="20% - Accent4 10 5" xfId="4071"/>
    <cellStyle name="20% - Accent4 10 5 2" xfId="26846"/>
    <cellStyle name="20% - Accent4 10 6" xfId="4727"/>
    <cellStyle name="20% - Accent4 10 6 2" xfId="27502"/>
    <cellStyle name="20% - Accent4 10 7" xfId="5383"/>
    <cellStyle name="20% - Accent4 10 7 2" xfId="28158"/>
    <cellStyle name="20% - Accent4 10 8" xfId="6039"/>
    <cellStyle name="20% - Accent4 10 8 2" xfId="28814"/>
    <cellStyle name="20% - Accent4 10 9" xfId="2431"/>
    <cellStyle name="20% - Accent4 10 9 2" xfId="25206"/>
    <cellStyle name="20% - Accent4 11" xfId="606"/>
    <cellStyle name="20% - Accent4 11 10" xfId="8150"/>
    <cellStyle name="20% - Accent4 11 10 2" xfId="30925"/>
    <cellStyle name="20% - Accent4 11 11" xfId="8806"/>
    <cellStyle name="20% - Accent4 11 11 2" xfId="31581"/>
    <cellStyle name="20% - Accent4 11 12" xfId="9462"/>
    <cellStyle name="20% - Accent4 11 12 2" xfId="32237"/>
    <cellStyle name="20% - Accent4 11 13" xfId="10118"/>
    <cellStyle name="20% - Accent4 11 13 2" xfId="32893"/>
    <cellStyle name="20% - Accent4 11 14" xfId="10774"/>
    <cellStyle name="20% - Accent4 11 14 2" xfId="33549"/>
    <cellStyle name="20% - Accent4 11 15" xfId="11430"/>
    <cellStyle name="20% - Accent4 11 15 2" xfId="34205"/>
    <cellStyle name="20% - Accent4 11 16" xfId="12086"/>
    <cellStyle name="20% - Accent4 11 16 2" xfId="34861"/>
    <cellStyle name="20% - Accent4 11 17" xfId="12742"/>
    <cellStyle name="20% - Accent4 11 17 2" xfId="35517"/>
    <cellStyle name="20% - Accent4 11 18" xfId="13398"/>
    <cellStyle name="20% - Accent4 11 18 2" xfId="36173"/>
    <cellStyle name="20% - Accent4 11 19" xfId="14054"/>
    <cellStyle name="20% - Accent4 11 19 2" xfId="36829"/>
    <cellStyle name="20% - Accent4 11 2" xfId="1262"/>
    <cellStyle name="20% - Accent4 11 2 2" xfId="3558"/>
    <cellStyle name="20% - Accent4 11 2 2 2" xfId="26333"/>
    <cellStyle name="20% - Accent4 11 2 3" xfId="24037"/>
    <cellStyle name="20% - Accent4 11 20" xfId="14710"/>
    <cellStyle name="20% - Accent4 11 20 2" xfId="37485"/>
    <cellStyle name="20% - Accent4 11 21" xfId="15366"/>
    <cellStyle name="20% - Accent4 11 21 2" xfId="38141"/>
    <cellStyle name="20% - Accent4 11 22" xfId="16022"/>
    <cellStyle name="20% - Accent4 11 22 2" xfId="38797"/>
    <cellStyle name="20% - Accent4 11 23" xfId="16678"/>
    <cellStyle name="20% - Accent4 11 23 2" xfId="39453"/>
    <cellStyle name="20% - Accent4 11 24" xfId="17334"/>
    <cellStyle name="20% - Accent4 11 24 2" xfId="40109"/>
    <cellStyle name="20% - Accent4 11 25" xfId="17990"/>
    <cellStyle name="20% - Accent4 11 25 2" xfId="40765"/>
    <cellStyle name="20% - Accent4 11 26" xfId="18646"/>
    <cellStyle name="20% - Accent4 11 26 2" xfId="41421"/>
    <cellStyle name="20% - Accent4 11 27" xfId="19302"/>
    <cellStyle name="20% - Accent4 11 27 2" xfId="42077"/>
    <cellStyle name="20% - Accent4 11 28" xfId="19958"/>
    <cellStyle name="20% - Accent4 11 28 2" xfId="42733"/>
    <cellStyle name="20% - Accent4 11 29" xfId="20614"/>
    <cellStyle name="20% - Accent4 11 29 2" xfId="43389"/>
    <cellStyle name="20% - Accent4 11 3" xfId="1918"/>
    <cellStyle name="20% - Accent4 11 3 2" xfId="4214"/>
    <cellStyle name="20% - Accent4 11 3 2 2" xfId="26989"/>
    <cellStyle name="20% - Accent4 11 3 3" xfId="24693"/>
    <cellStyle name="20% - Accent4 11 30" xfId="21270"/>
    <cellStyle name="20% - Accent4 11 30 2" xfId="44045"/>
    <cellStyle name="20% - Accent4 11 31" xfId="21926"/>
    <cellStyle name="20% - Accent4 11 31 2" xfId="44701"/>
    <cellStyle name="20% - Accent4 11 32" xfId="22582"/>
    <cellStyle name="20% - Accent4 11 32 2" xfId="45357"/>
    <cellStyle name="20% - Accent4 11 33" xfId="23381"/>
    <cellStyle name="20% - Accent4 11 4" xfId="4870"/>
    <cellStyle name="20% - Accent4 11 4 2" xfId="27645"/>
    <cellStyle name="20% - Accent4 11 5" xfId="5526"/>
    <cellStyle name="20% - Accent4 11 5 2" xfId="28301"/>
    <cellStyle name="20% - Accent4 11 6" xfId="6182"/>
    <cellStyle name="20% - Accent4 11 6 2" xfId="28957"/>
    <cellStyle name="20% - Accent4 11 7" xfId="2902"/>
    <cellStyle name="20% - Accent4 11 7 2" xfId="25677"/>
    <cellStyle name="20% - Accent4 11 8" xfId="6838"/>
    <cellStyle name="20% - Accent4 11 8 2" xfId="29613"/>
    <cellStyle name="20% - Accent4 11 9" xfId="7494"/>
    <cellStyle name="20% - Accent4 11 9 2" xfId="30269"/>
    <cellStyle name="20% - Accent4 12" xfId="279"/>
    <cellStyle name="20% - Accent4 12 2" xfId="2574"/>
    <cellStyle name="20% - Accent4 12 2 2" xfId="25349"/>
    <cellStyle name="20% - Accent4 12 3" xfId="23053"/>
    <cellStyle name="20% - Accent4 13" xfId="934"/>
    <cellStyle name="20% - Accent4 13 2" xfId="3230"/>
    <cellStyle name="20% - Accent4 13 2 2" xfId="26005"/>
    <cellStyle name="20% - Accent4 13 3" xfId="23709"/>
    <cellStyle name="20% - Accent4 14" xfId="1590"/>
    <cellStyle name="20% - Accent4 14 2" xfId="3886"/>
    <cellStyle name="20% - Accent4 14 2 2" xfId="26661"/>
    <cellStyle name="20% - Accent4 14 3" xfId="24365"/>
    <cellStyle name="20% - Accent4 15" xfId="4542"/>
    <cellStyle name="20% - Accent4 15 2" xfId="27317"/>
    <cellStyle name="20% - Accent4 16" xfId="5198"/>
    <cellStyle name="20% - Accent4 16 2" xfId="27973"/>
    <cellStyle name="20% - Accent4 17" xfId="5854"/>
    <cellStyle name="20% - Accent4 17 2" xfId="28629"/>
    <cellStyle name="20% - Accent4 18" xfId="2246"/>
    <cellStyle name="20% - Accent4 18 2" xfId="25021"/>
    <cellStyle name="20% - Accent4 19" xfId="6510"/>
    <cellStyle name="20% - Accent4 19 2" xfId="29285"/>
    <cellStyle name="20% - Accent4 2" xfId="74"/>
    <cellStyle name="20% - Accent4 2 10" xfId="5870"/>
    <cellStyle name="20% - Accent4 2 10 2" xfId="28645"/>
    <cellStyle name="20% - Accent4 2 11" xfId="2262"/>
    <cellStyle name="20% - Accent4 2 11 2" xfId="25037"/>
    <cellStyle name="20% - Accent4 2 12" xfId="6526"/>
    <cellStyle name="20% - Accent4 2 12 2" xfId="29301"/>
    <cellStyle name="20% - Accent4 2 13" xfId="7182"/>
    <cellStyle name="20% - Accent4 2 13 2" xfId="29957"/>
    <cellStyle name="20% - Accent4 2 14" xfId="7838"/>
    <cellStyle name="20% - Accent4 2 14 2" xfId="30613"/>
    <cellStyle name="20% - Accent4 2 15" xfId="8494"/>
    <cellStyle name="20% - Accent4 2 15 2" xfId="31269"/>
    <cellStyle name="20% - Accent4 2 16" xfId="9150"/>
    <cellStyle name="20% - Accent4 2 16 2" xfId="31925"/>
    <cellStyle name="20% - Accent4 2 17" xfId="9806"/>
    <cellStyle name="20% - Accent4 2 17 2" xfId="32581"/>
    <cellStyle name="20% - Accent4 2 18" xfId="10462"/>
    <cellStyle name="20% - Accent4 2 18 2" xfId="33237"/>
    <cellStyle name="20% - Accent4 2 19" xfId="11118"/>
    <cellStyle name="20% - Accent4 2 19 2" xfId="33893"/>
    <cellStyle name="20% - Accent4 2 2" xfId="150"/>
    <cellStyle name="20% - Accent4 2 2 10" xfId="2348"/>
    <cellStyle name="20% - Accent4 2 2 10 2" xfId="25123"/>
    <cellStyle name="20% - Accent4 2 2 11" xfId="6612"/>
    <cellStyle name="20% - Accent4 2 2 11 2" xfId="29387"/>
    <cellStyle name="20% - Accent4 2 2 12" xfId="7268"/>
    <cellStyle name="20% - Accent4 2 2 12 2" xfId="30043"/>
    <cellStyle name="20% - Accent4 2 2 13" xfId="7924"/>
    <cellStyle name="20% - Accent4 2 2 13 2" xfId="30699"/>
    <cellStyle name="20% - Accent4 2 2 14" xfId="8580"/>
    <cellStyle name="20% - Accent4 2 2 14 2" xfId="31355"/>
    <cellStyle name="20% - Accent4 2 2 15" xfId="9236"/>
    <cellStyle name="20% - Accent4 2 2 15 2" xfId="32011"/>
    <cellStyle name="20% - Accent4 2 2 16" xfId="9892"/>
    <cellStyle name="20% - Accent4 2 2 16 2" xfId="32667"/>
    <cellStyle name="20% - Accent4 2 2 17" xfId="10548"/>
    <cellStyle name="20% - Accent4 2 2 17 2" xfId="33323"/>
    <cellStyle name="20% - Accent4 2 2 18" xfId="11204"/>
    <cellStyle name="20% - Accent4 2 2 18 2" xfId="33979"/>
    <cellStyle name="20% - Accent4 2 2 19" xfId="11860"/>
    <cellStyle name="20% - Accent4 2 2 19 2" xfId="34635"/>
    <cellStyle name="20% - Accent4 2 2 2" xfId="564"/>
    <cellStyle name="20% - Accent4 2 2 2 10" xfId="6797"/>
    <cellStyle name="20% - Accent4 2 2 2 10 2" xfId="29572"/>
    <cellStyle name="20% - Accent4 2 2 2 11" xfId="7453"/>
    <cellStyle name="20% - Accent4 2 2 2 11 2" xfId="30228"/>
    <cellStyle name="20% - Accent4 2 2 2 12" xfId="8109"/>
    <cellStyle name="20% - Accent4 2 2 2 12 2" xfId="30884"/>
    <cellStyle name="20% - Accent4 2 2 2 13" xfId="8765"/>
    <cellStyle name="20% - Accent4 2 2 2 13 2" xfId="31540"/>
    <cellStyle name="20% - Accent4 2 2 2 14" xfId="9421"/>
    <cellStyle name="20% - Accent4 2 2 2 14 2" xfId="32196"/>
    <cellStyle name="20% - Accent4 2 2 2 15" xfId="10077"/>
    <cellStyle name="20% - Accent4 2 2 2 15 2" xfId="32852"/>
    <cellStyle name="20% - Accent4 2 2 2 16" xfId="10733"/>
    <cellStyle name="20% - Accent4 2 2 2 16 2" xfId="33508"/>
    <cellStyle name="20% - Accent4 2 2 2 17" xfId="11389"/>
    <cellStyle name="20% - Accent4 2 2 2 17 2" xfId="34164"/>
    <cellStyle name="20% - Accent4 2 2 2 18" xfId="12045"/>
    <cellStyle name="20% - Accent4 2 2 2 18 2" xfId="34820"/>
    <cellStyle name="20% - Accent4 2 2 2 19" xfId="12701"/>
    <cellStyle name="20% - Accent4 2 2 2 19 2" xfId="35476"/>
    <cellStyle name="20% - Accent4 2 2 2 2" xfId="893"/>
    <cellStyle name="20% - Accent4 2 2 2 2 10" xfId="8437"/>
    <cellStyle name="20% - Accent4 2 2 2 2 10 2" xfId="31212"/>
    <cellStyle name="20% - Accent4 2 2 2 2 11" xfId="9093"/>
    <cellStyle name="20% - Accent4 2 2 2 2 11 2" xfId="31868"/>
    <cellStyle name="20% - Accent4 2 2 2 2 12" xfId="9749"/>
    <cellStyle name="20% - Accent4 2 2 2 2 12 2" xfId="32524"/>
    <cellStyle name="20% - Accent4 2 2 2 2 13" xfId="10405"/>
    <cellStyle name="20% - Accent4 2 2 2 2 13 2" xfId="33180"/>
    <cellStyle name="20% - Accent4 2 2 2 2 14" xfId="11061"/>
    <cellStyle name="20% - Accent4 2 2 2 2 14 2" xfId="33836"/>
    <cellStyle name="20% - Accent4 2 2 2 2 15" xfId="11717"/>
    <cellStyle name="20% - Accent4 2 2 2 2 15 2" xfId="34492"/>
    <cellStyle name="20% - Accent4 2 2 2 2 16" xfId="12373"/>
    <cellStyle name="20% - Accent4 2 2 2 2 16 2" xfId="35148"/>
    <cellStyle name="20% - Accent4 2 2 2 2 17" xfId="13029"/>
    <cellStyle name="20% - Accent4 2 2 2 2 17 2" xfId="35804"/>
    <cellStyle name="20% - Accent4 2 2 2 2 18" xfId="13685"/>
    <cellStyle name="20% - Accent4 2 2 2 2 18 2" xfId="36460"/>
    <cellStyle name="20% - Accent4 2 2 2 2 19" xfId="14341"/>
    <cellStyle name="20% - Accent4 2 2 2 2 19 2" xfId="37116"/>
    <cellStyle name="20% - Accent4 2 2 2 2 2" xfId="1549"/>
    <cellStyle name="20% - Accent4 2 2 2 2 2 2" xfId="3845"/>
    <cellStyle name="20% - Accent4 2 2 2 2 2 2 2" xfId="26620"/>
    <cellStyle name="20% - Accent4 2 2 2 2 2 3" xfId="24324"/>
    <cellStyle name="20% - Accent4 2 2 2 2 20" xfId="14997"/>
    <cellStyle name="20% - Accent4 2 2 2 2 20 2" xfId="37772"/>
    <cellStyle name="20% - Accent4 2 2 2 2 21" xfId="15653"/>
    <cellStyle name="20% - Accent4 2 2 2 2 21 2" xfId="38428"/>
    <cellStyle name="20% - Accent4 2 2 2 2 22" xfId="16309"/>
    <cellStyle name="20% - Accent4 2 2 2 2 22 2" xfId="39084"/>
    <cellStyle name="20% - Accent4 2 2 2 2 23" xfId="16965"/>
    <cellStyle name="20% - Accent4 2 2 2 2 23 2" xfId="39740"/>
    <cellStyle name="20% - Accent4 2 2 2 2 24" xfId="17621"/>
    <cellStyle name="20% - Accent4 2 2 2 2 24 2" xfId="40396"/>
    <cellStyle name="20% - Accent4 2 2 2 2 25" xfId="18277"/>
    <cellStyle name="20% - Accent4 2 2 2 2 25 2" xfId="41052"/>
    <cellStyle name="20% - Accent4 2 2 2 2 26" xfId="18933"/>
    <cellStyle name="20% - Accent4 2 2 2 2 26 2" xfId="41708"/>
    <cellStyle name="20% - Accent4 2 2 2 2 27" xfId="19589"/>
    <cellStyle name="20% - Accent4 2 2 2 2 27 2" xfId="42364"/>
    <cellStyle name="20% - Accent4 2 2 2 2 28" xfId="20245"/>
    <cellStyle name="20% - Accent4 2 2 2 2 28 2" xfId="43020"/>
    <cellStyle name="20% - Accent4 2 2 2 2 29" xfId="20901"/>
    <cellStyle name="20% - Accent4 2 2 2 2 29 2" xfId="43676"/>
    <cellStyle name="20% - Accent4 2 2 2 2 3" xfId="2205"/>
    <cellStyle name="20% - Accent4 2 2 2 2 3 2" xfId="4501"/>
    <cellStyle name="20% - Accent4 2 2 2 2 3 2 2" xfId="27276"/>
    <cellStyle name="20% - Accent4 2 2 2 2 3 3" xfId="24980"/>
    <cellStyle name="20% - Accent4 2 2 2 2 30" xfId="21557"/>
    <cellStyle name="20% - Accent4 2 2 2 2 30 2" xfId="44332"/>
    <cellStyle name="20% - Accent4 2 2 2 2 31" xfId="22213"/>
    <cellStyle name="20% - Accent4 2 2 2 2 31 2" xfId="44988"/>
    <cellStyle name="20% - Accent4 2 2 2 2 32" xfId="22869"/>
    <cellStyle name="20% - Accent4 2 2 2 2 32 2" xfId="45644"/>
    <cellStyle name="20% - Accent4 2 2 2 2 33" xfId="23668"/>
    <cellStyle name="20% - Accent4 2 2 2 2 4" xfId="5157"/>
    <cellStyle name="20% - Accent4 2 2 2 2 4 2" xfId="27932"/>
    <cellStyle name="20% - Accent4 2 2 2 2 5" xfId="5813"/>
    <cellStyle name="20% - Accent4 2 2 2 2 5 2" xfId="28588"/>
    <cellStyle name="20% - Accent4 2 2 2 2 6" xfId="6469"/>
    <cellStyle name="20% - Accent4 2 2 2 2 6 2" xfId="29244"/>
    <cellStyle name="20% - Accent4 2 2 2 2 7" xfId="3189"/>
    <cellStyle name="20% - Accent4 2 2 2 2 7 2" xfId="25964"/>
    <cellStyle name="20% - Accent4 2 2 2 2 8" xfId="7125"/>
    <cellStyle name="20% - Accent4 2 2 2 2 8 2" xfId="29900"/>
    <cellStyle name="20% - Accent4 2 2 2 2 9" xfId="7781"/>
    <cellStyle name="20% - Accent4 2 2 2 2 9 2" xfId="30556"/>
    <cellStyle name="20% - Accent4 2 2 2 20" xfId="13357"/>
    <cellStyle name="20% - Accent4 2 2 2 20 2" xfId="36132"/>
    <cellStyle name="20% - Accent4 2 2 2 21" xfId="14013"/>
    <cellStyle name="20% - Accent4 2 2 2 21 2" xfId="36788"/>
    <cellStyle name="20% - Accent4 2 2 2 22" xfId="14669"/>
    <cellStyle name="20% - Accent4 2 2 2 22 2" xfId="37444"/>
    <cellStyle name="20% - Accent4 2 2 2 23" xfId="15325"/>
    <cellStyle name="20% - Accent4 2 2 2 23 2" xfId="38100"/>
    <cellStyle name="20% - Accent4 2 2 2 24" xfId="15981"/>
    <cellStyle name="20% - Accent4 2 2 2 24 2" xfId="38756"/>
    <cellStyle name="20% - Accent4 2 2 2 25" xfId="16637"/>
    <cellStyle name="20% - Accent4 2 2 2 25 2" xfId="39412"/>
    <cellStyle name="20% - Accent4 2 2 2 26" xfId="17293"/>
    <cellStyle name="20% - Accent4 2 2 2 26 2" xfId="40068"/>
    <cellStyle name="20% - Accent4 2 2 2 27" xfId="17949"/>
    <cellStyle name="20% - Accent4 2 2 2 27 2" xfId="40724"/>
    <cellStyle name="20% - Accent4 2 2 2 28" xfId="18605"/>
    <cellStyle name="20% - Accent4 2 2 2 28 2" xfId="41380"/>
    <cellStyle name="20% - Accent4 2 2 2 29" xfId="19261"/>
    <cellStyle name="20% - Accent4 2 2 2 29 2" xfId="42036"/>
    <cellStyle name="20% - Accent4 2 2 2 3" xfId="1221"/>
    <cellStyle name="20% - Accent4 2 2 2 3 2" xfId="2861"/>
    <cellStyle name="20% - Accent4 2 2 2 3 2 2" xfId="25636"/>
    <cellStyle name="20% - Accent4 2 2 2 3 3" xfId="23996"/>
    <cellStyle name="20% - Accent4 2 2 2 30" xfId="19917"/>
    <cellStyle name="20% - Accent4 2 2 2 30 2" xfId="42692"/>
    <cellStyle name="20% - Accent4 2 2 2 31" xfId="20573"/>
    <cellStyle name="20% - Accent4 2 2 2 31 2" xfId="43348"/>
    <cellStyle name="20% - Accent4 2 2 2 32" xfId="21229"/>
    <cellStyle name="20% - Accent4 2 2 2 32 2" xfId="44004"/>
    <cellStyle name="20% - Accent4 2 2 2 33" xfId="21885"/>
    <cellStyle name="20% - Accent4 2 2 2 33 2" xfId="44660"/>
    <cellStyle name="20% - Accent4 2 2 2 34" xfId="22541"/>
    <cellStyle name="20% - Accent4 2 2 2 34 2" xfId="45316"/>
    <cellStyle name="20% - Accent4 2 2 2 35" xfId="23340"/>
    <cellStyle name="20% - Accent4 2 2 2 4" xfId="1877"/>
    <cellStyle name="20% - Accent4 2 2 2 4 2" xfId="3517"/>
    <cellStyle name="20% - Accent4 2 2 2 4 2 2" xfId="26292"/>
    <cellStyle name="20% - Accent4 2 2 2 4 3" xfId="24652"/>
    <cellStyle name="20% - Accent4 2 2 2 5" xfId="4173"/>
    <cellStyle name="20% - Accent4 2 2 2 5 2" xfId="26948"/>
    <cellStyle name="20% - Accent4 2 2 2 6" xfId="4829"/>
    <cellStyle name="20% - Accent4 2 2 2 6 2" xfId="27604"/>
    <cellStyle name="20% - Accent4 2 2 2 7" xfId="5485"/>
    <cellStyle name="20% - Accent4 2 2 2 7 2" xfId="28260"/>
    <cellStyle name="20% - Accent4 2 2 2 8" xfId="6141"/>
    <cellStyle name="20% - Accent4 2 2 2 8 2" xfId="28916"/>
    <cellStyle name="20% - Accent4 2 2 2 9" xfId="2533"/>
    <cellStyle name="20% - Accent4 2 2 2 9 2" xfId="25308"/>
    <cellStyle name="20% - Accent4 2 2 20" xfId="12516"/>
    <cellStyle name="20% - Accent4 2 2 20 2" xfId="35291"/>
    <cellStyle name="20% - Accent4 2 2 21" xfId="13172"/>
    <cellStyle name="20% - Accent4 2 2 21 2" xfId="35947"/>
    <cellStyle name="20% - Accent4 2 2 22" xfId="13828"/>
    <cellStyle name="20% - Accent4 2 2 22 2" xfId="36603"/>
    <cellStyle name="20% - Accent4 2 2 23" xfId="14484"/>
    <cellStyle name="20% - Accent4 2 2 23 2" xfId="37259"/>
    <cellStyle name="20% - Accent4 2 2 24" xfId="15140"/>
    <cellStyle name="20% - Accent4 2 2 24 2" xfId="37915"/>
    <cellStyle name="20% - Accent4 2 2 25" xfId="15796"/>
    <cellStyle name="20% - Accent4 2 2 25 2" xfId="38571"/>
    <cellStyle name="20% - Accent4 2 2 26" xfId="16452"/>
    <cellStyle name="20% - Accent4 2 2 26 2" xfId="39227"/>
    <cellStyle name="20% - Accent4 2 2 27" xfId="17108"/>
    <cellStyle name="20% - Accent4 2 2 27 2" xfId="39883"/>
    <cellStyle name="20% - Accent4 2 2 28" xfId="17764"/>
    <cellStyle name="20% - Accent4 2 2 28 2" xfId="40539"/>
    <cellStyle name="20% - Accent4 2 2 29" xfId="18420"/>
    <cellStyle name="20% - Accent4 2 2 29 2" xfId="41195"/>
    <cellStyle name="20% - Accent4 2 2 3" xfId="708"/>
    <cellStyle name="20% - Accent4 2 2 3 10" xfId="8252"/>
    <cellStyle name="20% - Accent4 2 2 3 10 2" xfId="31027"/>
    <cellStyle name="20% - Accent4 2 2 3 11" xfId="8908"/>
    <cellStyle name="20% - Accent4 2 2 3 11 2" xfId="31683"/>
    <cellStyle name="20% - Accent4 2 2 3 12" xfId="9564"/>
    <cellStyle name="20% - Accent4 2 2 3 12 2" xfId="32339"/>
    <cellStyle name="20% - Accent4 2 2 3 13" xfId="10220"/>
    <cellStyle name="20% - Accent4 2 2 3 13 2" xfId="32995"/>
    <cellStyle name="20% - Accent4 2 2 3 14" xfId="10876"/>
    <cellStyle name="20% - Accent4 2 2 3 14 2" xfId="33651"/>
    <cellStyle name="20% - Accent4 2 2 3 15" xfId="11532"/>
    <cellStyle name="20% - Accent4 2 2 3 15 2" xfId="34307"/>
    <cellStyle name="20% - Accent4 2 2 3 16" xfId="12188"/>
    <cellStyle name="20% - Accent4 2 2 3 16 2" xfId="34963"/>
    <cellStyle name="20% - Accent4 2 2 3 17" xfId="12844"/>
    <cellStyle name="20% - Accent4 2 2 3 17 2" xfId="35619"/>
    <cellStyle name="20% - Accent4 2 2 3 18" xfId="13500"/>
    <cellStyle name="20% - Accent4 2 2 3 18 2" xfId="36275"/>
    <cellStyle name="20% - Accent4 2 2 3 19" xfId="14156"/>
    <cellStyle name="20% - Accent4 2 2 3 19 2" xfId="36931"/>
    <cellStyle name="20% - Accent4 2 2 3 2" xfId="1364"/>
    <cellStyle name="20% - Accent4 2 2 3 2 2" xfId="3660"/>
    <cellStyle name="20% - Accent4 2 2 3 2 2 2" xfId="26435"/>
    <cellStyle name="20% - Accent4 2 2 3 2 3" xfId="24139"/>
    <cellStyle name="20% - Accent4 2 2 3 20" xfId="14812"/>
    <cellStyle name="20% - Accent4 2 2 3 20 2" xfId="37587"/>
    <cellStyle name="20% - Accent4 2 2 3 21" xfId="15468"/>
    <cellStyle name="20% - Accent4 2 2 3 21 2" xfId="38243"/>
    <cellStyle name="20% - Accent4 2 2 3 22" xfId="16124"/>
    <cellStyle name="20% - Accent4 2 2 3 22 2" xfId="38899"/>
    <cellStyle name="20% - Accent4 2 2 3 23" xfId="16780"/>
    <cellStyle name="20% - Accent4 2 2 3 23 2" xfId="39555"/>
    <cellStyle name="20% - Accent4 2 2 3 24" xfId="17436"/>
    <cellStyle name="20% - Accent4 2 2 3 24 2" xfId="40211"/>
    <cellStyle name="20% - Accent4 2 2 3 25" xfId="18092"/>
    <cellStyle name="20% - Accent4 2 2 3 25 2" xfId="40867"/>
    <cellStyle name="20% - Accent4 2 2 3 26" xfId="18748"/>
    <cellStyle name="20% - Accent4 2 2 3 26 2" xfId="41523"/>
    <cellStyle name="20% - Accent4 2 2 3 27" xfId="19404"/>
    <cellStyle name="20% - Accent4 2 2 3 27 2" xfId="42179"/>
    <cellStyle name="20% - Accent4 2 2 3 28" xfId="20060"/>
    <cellStyle name="20% - Accent4 2 2 3 28 2" xfId="42835"/>
    <cellStyle name="20% - Accent4 2 2 3 29" xfId="20716"/>
    <cellStyle name="20% - Accent4 2 2 3 29 2" xfId="43491"/>
    <cellStyle name="20% - Accent4 2 2 3 3" xfId="2020"/>
    <cellStyle name="20% - Accent4 2 2 3 3 2" xfId="4316"/>
    <cellStyle name="20% - Accent4 2 2 3 3 2 2" xfId="27091"/>
    <cellStyle name="20% - Accent4 2 2 3 3 3" xfId="24795"/>
    <cellStyle name="20% - Accent4 2 2 3 30" xfId="21372"/>
    <cellStyle name="20% - Accent4 2 2 3 30 2" xfId="44147"/>
    <cellStyle name="20% - Accent4 2 2 3 31" xfId="22028"/>
    <cellStyle name="20% - Accent4 2 2 3 31 2" xfId="44803"/>
    <cellStyle name="20% - Accent4 2 2 3 32" xfId="22684"/>
    <cellStyle name="20% - Accent4 2 2 3 32 2" xfId="45459"/>
    <cellStyle name="20% - Accent4 2 2 3 33" xfId="23483"/>
    <cellStyle name="20% - Accent4 2 2 3 4" xfId="4972"/>
    <cellStyle name="20% - Accent4 2 2 3 4 2" xfId="27747"/>
    <cellStyle name="20% - Accent4 2 2 3 5" xfId="5628"/>
    <cellStyle name="20% - Accent4 2 2 3 5 2" xfId="28403"/>
    <cellStyle name="20% - Accent4 2 2 3 6" xfId="6284"/>
    <cellStyle name="20% - Accent4 2 2 3 6 2" xfId="29059"/>
    <cellStyle name="20% - Accent4 2 2 3 7" xfId="3004"/>
    <cellStyle name="20% - Accent4 2 2 3 7 2" xfId="25779"/>
    <cellStyle name="20% - Accent4 2 2 3 8" xfId="6940"/>
    <cellStyle name="20% - Accent4 2 2 3 8 2" xfId="29715"/>
    <cellStyle name="20% - Accent4 2 2 3 9" xfId="7596"/>
    <cellStyle name="20% - Accent4 2 2 3 9 2" xfId="30371"/>
    <cellStyle name="20% - Accent4 2 2 30" xfId="19076"/>
    <cellStyle name="20% - Accent4 2 2 30 2" xfId="41851"/>
    <cellStyle name="20% - Accent4 2 2 31" xfId="19732"/>
    <cellStyle name="20% - Accent4 2 2 31 2" xfId="42507"/>
    <cellStyle name="20% - Accent4 2 2 32" xfId="20388"/>
    <cellStyle name="20% - Accent4 2 2 32 2" xfId="43163"/>
    <cellStyle name="20% - Accent4 2 2 33" xfId="21044"/>
    <cellStyle name="20% - Accent4 2 2 33 2" xfId="43819"/>
    <cellStyle name="20% - Accent4 2 2 34" xfId="21700"/>
    <cellStyle name="20% - Accent4 2 2 34 2" xfId="44475"/>
    <cellStyle name="20% - Accent4 2 2 35" xfId="22356"/>
    <cellStyle name="20% - Accent4 2 2 35 2" xfId="45131"/>
    <cellStyle name="20% - Accent4 2 2 36" xfId="23012"/>
    <cellStyle name="20% - Accent4 2 2 4" xfId="381"/>
    <cellStyle name="20% - Accent4 2 2 4 2" xfId="2676"/>
    <cellStyle name="20% - Accent4 2 2 4 2 2" xfId="25451"/>
    <cellStyle name="20% - Accent4 2 2 4 3" xfId="23155"/>
    <cellStyle name="20% - Accent4 2 2 5" xfId="1036"/>
    <cellStyle name="20% - Accent4 2 2 5 2" xfId="3332"/>
    <cellStyle name="20% - Accent4 2 2 5 2 2" xfId="26107"/>
    <cellStyle name="20% - Accent4 2 2 5 3" xfId="23811"/>
    <cellStyle name="20% - Accent4 2 2 6" xfId="1692"/>
    <cellStyle name="20% - Accent4 2 2 6 2" xfId="3988"/>
    <cellStyle name="20% - Accent4 2 2 6 2 2" xfId="26763"/>
    <cellStyle name="20% - Accent4 2 2 6 3" xfId="24467"/>
    <cellStyle name="20% - Accent4 2 2 7" xfId="4644"/>
    <cellStyle name="20% - Accent4 2 2 7 2" xfId="27419"/>
    <cellStyle name="20% - Accent4 2 2 8" xfId="5300"/>
    <cellStyle name="20% - Accent4 2 2 8 2" xfId="28075"/>
    <cellStyle name="20% - Accent4 2 2 9" xfId="5956"/>
    <cellStyle name="20% - Accent4 2 2 9 2" xfId="28731"/>
    <cellStyle name="20% - Accent4 2 20" xfId="11774"/>
    <cellStyle name="20% - Accent4 2 20 2" xfId="34549"/>
    <cellStyle name="20% - Accent4 2 21" xfId="12430"/>
    <cellStyle name="20% - Accent4 2 21 2" xfId="35205"/>
    <cellStyle name="20% - Accent4 2 22" xfId="13086"/>
    <cellStyle name="20% - Accent4 2 22 2" xfId="35861"/>
    <cellStyle name="20% - Accent4 2 23" xfId="13742"/>
    <cellStyle name="20% - Accent4 2 23 2" xfId="36517"/>
    <cellStyle name="20% - Accent4 2 24" xfId="14398"/>
    <cellStyle name="20% - Accent4 2 24 2" xfId="37173"/>
    <cellStyle name="20% - Accent4 2 25" xfId="15054"/>
    <cellStyle name="20% - Accent4 2 25 2" xfId="37829"/>
    <cellStyle name="20% - Accent4 2 26" xfId="15710"/>
    <cellStyle name="20% - Accent4 2 26 2" xfId="38485"/>
    <cellStyle name="20% - Accent4 2 27" xfId="16366"/>
    <cellStyle name="20% - Accent4 2 27 2" xfId="39141"/>
    <cellStyle name="20% - Accent4 2 28" xfId="17022"/>
    <cellStyle name="20% - Accent4 2 28 2" xfId="39797"/>
    <cellStyle name="20% - Accent4 2 29" xfId="17678"/>
    <cellStyle name="20% - Accent4 2 29 2" xfId="40453"/>
    <cellStyle name="20% - Accent4 2 3" xfId="480"/>
    <cellStyle name="20% - Accent4 2 3 10" xfId="6711"/>
    <cellStyle name="20% - Accent4 2 3 10 2" xfId="29486"/>
    <cellStyle name="20% - Accent4 2 3 11" xfId="7367"/>
    <cellStyle name="20% - Accent4 2 3 11 2" xfId="30142"/>
    <cellStyle name="20% - Accent4 2 3 12" xfId="8023"/>
    <cellStyle name="20% - Accent4 2 3 12 2" xfId="30798"/>
    <cellStyle name="20% - Accent4 2 3 13" xfId="8679"/>
    <cellStyle name="20% - Accent4 2 3 13 2" xfId="31454"/>
    <cellStyle name="20% - Accent4 2 3 14" xfId="9335"/>
    <cellStyle name="20% - Accent4 2 3 14 2" xfId="32110"/>
    <cellStyle name="20% - Accent4 2 3 15" xfId="9991"/>
    <cellStyle name="20% - Accent4 2 3 15 2" xfId="32766"/>
    <cellStyle name="20% - Accent4 2 3 16" xfId="10647"/>
    <cellStyle name="20% - Accent4 2 3 16 2" xfId="33422"/>
    <cellStyle name="20% - Accent4 2 3 17" xfId="11303"/>
    <cellStyle name="20% - Accent4 2 3 17 2" xfId="34078"/>
    <cellStyle name="20% - Accent4 2 3 18" xfId="11959"/>
    <cellStyle name="20% - Accent4 2 3 18 2" xfId="34734"/>
    <cellStyle name="20% - Accent4 2 3 19" xfId="12615"/>
    <cellStyle name="20% - Accent4 2 3 19 2" xfId="35390"/>
    <cellStyle name="20% - Accent4 2 3 2" xfId="807"/>
    <cellStyle name="20% - Accent4 2 3 2 10" xfId="8351"/>
    <cellStyle name="20% - Accent4 2 3 2 10 2" xfId="31126"/>
    <cellStyle name="20% - Accent4 2 3 2 11" xfId="9007"/>
    <cellStyle name="20% - Accent4 2 3 2 11 2" xfId="31782"/>
    <cellStyle name="20% - Accent4 2 3 2 12" xfId="9663"/>
    <cellStyle name="20% - Accent4 2 3 2 12 2" xfId="32438"/>
    <cellStyle name="20% - Accent4 2 3 2 13" xfId="10319"/>
    <cellStyle name="20% - Accent4 2 3 2 13 2" xfId="33094"/>
    <cellStyle name="20% - Accent4 2 3 2 14" xfId="10975"/>
    <cellStyle name="20% - Accent4 2 3 2 14 2" xfId="33750"/>
    <cellStyle name="20% - Accent4 2 3 2 15" xfId="11631"/>
    <cellStyle name="20% - Accent4 2 3 2 15 2" xfId="34406"/>
    <cellStyle name="20% - Accent4 2 3 2 16" xfId="12287"/>
    <cellStyle name="20% - Accent4 2 3 2 16 2" xfId="35062"/>
    <cellStyle name="20% - Accent4 2 3 2 17" xfId="12943"/>
    <cellStyle name="20% - Accent4 2 3 2 17 2" xfId="35718"/>
    <cellStyle name="20% - Accent4 2 3 2 18" xfId="13599"/>
    <cellStyle name="20% - Accent4 2 3 2 18 2" xfId="36374"/>
    <cellStyle name="20% - Accent4 2 3 2 19" xfId="14255"/>
    <cellStyle name="20% - Accent4 2 3 2 19 2" xfId="37030"/>
    <cellStyle name="20% - Accent4 2 3 2 2" xfId="1463"/>
    <cellStyle name="20% - Accent4 2 3 2 2 2" xfId="3759"/>
    <cellStyle name="20% - Accent4 2 3 2 2 2 2" xfId="26534"/>
    <cellStyle name="20% - Accent4 2 3 2 2 3" xfId="24238"/>
    <cellStyle name="20% - Accent4 2 3 2 20" xfId="14911"/>
    <cellStyle name="20% - Accent4 2 3 2 20 2" xfId="37686"/>
    <cellStyle name="20% - Accent4 2 3 2 21" xfId="15567"/>
    <cellStyle name="20% - Accent4 2 3 2 21 2" xfId="38342"/>
    <cellStyle name="20% - Accent4 2 3 2 22" xfId="16223"/>
    <cellStyle name="20% - Accent4 2 3 2 22 2" xfId="38998"/>
    <cellStyle name="20% - Accent4 2 3 2 23" xfId="16879"/>
    <cellStyle name="20% - Accent4 2 3 2 23 2" xfId="39654"/>
    <cellStyle name="20% - Accent4 2 3 2 24" xfId="17535"/>
    <cellStyle name="20% - Accent4 2 3 2 24 2" xfId="40310"/>
    <cellStyle name="20% - Accent4 2 3 2 25" xfId="18191"/>
    <cellStyle name="20% - Accent4 2 3 2 25 2" xfId="40966"/>
    <cellStyle name="20% - Accent4 2 3 2 26" xfId="18847"/>
    <cellStyle name="20% - Accent4 2 3 2 26 2" xfId="41622"/>
    <cellStyle name="20% - Accent4 2 3 2 27" xfId="19503"/>
    <cellStyle name="20% - Accent4 2 3 2 27 2" xfId="42278"/>
    <cellStyle name="20% - Accent4 2 3 2 28" xfId="20159"/>
    <cellStyle name="20% - Accent4 2 3 2 28 2" xfId="42934"/>
    <cellStyle name="20% - Accent4 2 3 2 29" xfId="20815"/>
    <cellStyle name="20% - Accent4 2 3 2 29 2" xfId="43590"/>
    <cellStyle name="20% - Accent4 2 3 2 3" xfId="2119"/>
    <cellStyle name="20% - Accent4 2 3 2 3 2" xfId="4415"/>
    <cellStyle name="20% - Accent4 2 3 2 3 2 2" xfId="27190"/>
    <cellStyle name="20% - Accent4 2 3 2 3 3" xfId="24894"/>
    <cellStyle name="20% - Accent4 2 3 2 30" xfId="21471"/>
    <cellStyle name="20% - Accent4 2 3 2 30 2" xfId="44246"/>
    <cellStyle name="20% - Accent4 2 3 2 31" xfId="22127"/>
    <cellStyle name="20% - Accent4 2 3 2 31 2" xfId="44902"/>
    <cellStyle name="20% - Accent4 2 3 2 32" xfId="22783"/>
    <cellStyle name="20% - Accent4 2 3 2 32 2" xfId="45558"/>
    <cellStyle name="20% - Accent4 2 3 2 33" xfId="23582"/>
    <cellStyle name="20% - Accent4 2 3 2 4" xfId="5071"/>
    <cellStyle name="20% - Accent4 2 3 2 4 2" xfId="27846"/>
    <cellStyle name="20% - Accent4 2 3 2 5" xfId="5727"/>
    <cellStyle name="20% - Accent4 2 3 2 5 2" xfId="28502"/>
    <cellStyle name="20% - Accent4 2 3 2 6" xfId="6383"/>
    <cellStyle name="20% - Accent4 2 3 2 6 2" xfId="29158"/>
    <cellStyle name="20% - Accent4 2 3 2 7" xfId="3103"/>
    <cellStyle name="20% - Accent4 2 3 2 7 2" xfId="25878"/>
    <cellStyle name="20% - Accent4 2 3 2 8" xfId="7039"/>
    <cellStyle name="20% - Accent4 2 3 2 8 2" xfId="29814"/>
    <cellStyle name="20% - Accent4 2 3 2 9" xfId="7695"/>
    <cellStyle name="20% - Accent4 2 3 2 9 2" xfId="30470"/>
    <cellStyle name="20% - Accent4 2 3 20" xfId="13271"/>
    <cellStyle name="20% - Accent4 2 3 20 2" xfId="36046"/>
    <cellStyle name="20% - Accent4 2 3 21" xfId="13927"/>
    <cellStyle name="20% - Accent4 2 3 21 2" xfId="36702"/>
    <cellStyle name="20% - Accent4 2 3 22" xfId="14583"/>
    <cellStyle name="20% - Accent4 2 3 22 2" xfId="37358"/>
    <cellStyle name="20% - Accent4 2 3 23" xfId="15239"/>
    <cellStyle name="20% - Accent4 2 3 23 2" xfId="38014"/>
    <cellStyle name="20% - Accent4 2 3 24" xfId="15895"/>
    <cellStyle name="20% - Accent4 2 3 24 2" xfId="38670"/>
    <cellStyle name="20% - Accent4 2 3 25" xfId="16551"/>
    <cellStyle name="20% - Accent4 2 3 25 2" xfId="39326"/>
    <cellStyle name="20% - Accent4 2 3 26" xfId="17207"/>
    <cellStyle name="20% - Accent4 2 3 26 2" xfId="39982"/>
    <cellStyle name="20% - Accent4 2 3 27" xfId="17863"/>
    <cellStyle name="20% - Accent4 2 3 27 2" xfId="40638"/>
    <cellStyle name="20% - Accent4 2 3 28" xfId="18519"/>
    <cellStyle name="20% - Accent4 2 3 28 2" xfId="41294"/>
    <cellStyle name="20% - Accent4 2 3 29" xfId="19175"/>
    <cellStyle name="20% - Accent4 2 3 29 2" xfId="41950"/>
    <cellStyle name="20% - Accent4 2 3 3" xfId="1135"/>
    <cellStyle name="20% - Accent4 2 3 3 2" xfId="2775"/>
    <cellStyle name="20% - Accent4 2 3 3 2 2" xfId="25550"/>
    <cellStyle name="20% - Accent4 2 3 3 3" xfId="23910"/>
    <cellStyle name="20% - Accent4 2 3 30" xfId="19831"/>
    <cellStyle name="20% - Accent4 2 3 30 2" xfId="42606"/>
    <cellStyle name="20% - Accent4 2 3 31" xfId="20487"/>
    <cellStyle name="20% - Accent4 2 3 31 2" xfId="43262"/>
    <cellStyle name="20% - Accent4 2 3 32" xfId="21143"/>
    <cellStyle name="20% - Accent4 2 3 32 2" xfId="43918"/>
    <cellStyle name="20% - Accent4 2 3 33" xfId="21799"/>
    <cellStyle name="20% - Accent4 2 3 33 2" xfId="44574"/>
    <cellStyle name="20% - Accent4 2 3 34" xfId="22455"/>
    <cellStyle name="20% - Accent4 2 3 34 2" xfId="45230"/>
    <cellStyle name="20% - Accent4 2 3 35" xfId="23254"/>
    <cellStyle name="20% - Accent4 2 3 4" xfId="1791"/>
    <cellStyle name="20% - Accent4 2 3 4 2" xfId="3431"/>
    <cellStyle name="20% - Accent4 2 3 4 2 2" xfId="26206"/>
    <cellStyle name="20% - Accent4 2 3 4 3" xfId="24566"/>
    <cellStyle name="20% - Accent4 2 3 5" xfId="4087"/>
    <cellStyle name="20% - Accent4 2 3 5 2" xfId="26862"/>
    <cellStyle name="20% - Accent4 2 3 6" xfId="4743"/>
    <cellStyle name="20% - Accent4 2 3 6 2" xfId="27518"/>
    <cellStyle name="20% - Accent4 2 3 7" xfId="5399"/>
    <cellStyle name="20% - Accent4 2 3 7 2" xfId="28174"/>
    <cellStyle name="20% - Accent4 2 3 8" xfId="6055"/>
    <cellStyle name="20% - Accent4 2 3 8 2" xfId="28830"/>
    <cellStyle name="20% - Accent4 2 3 9" xfId="2447"/>
    <cellStyle name="20% - Accent4 2 3 9 2" xfId="25222"/>
    <cellStyle name="20% - Accent4 2 30" xfId="18334"/>
    <cellStyle name="20% - Accent4 2 30 2" xfId="41109"/>
    <cellStyle name="20% - Accent4 2 31" xfId="18990"/>
    <cellStyle name="20% - Accent4 2 31 2" xfId="41765"/>
    <cellStyle name="20% - Accent4 2 32" xfId="19646"/>
    <cellStyle name="20% - Accent4 2 32 2" xfId="42421"/>
    <cellStyle name="20% - Accent4 2 33" xfId="20302"/>
    <cellStyle name="20% - Accent4 2 33 2" xfId="43077"/>
    <cellStyle name="20% - Accent4 2 34" xfId="20958"/>
    <cellStyle name="20% - Accent4 2 34 2" xfId="43733"/>
    <cellStyle name="20% - Accent4 2 35" xfId="21614"/>
    <cellStyle name="20% - Accent4 2 35 2" xfId="44389"/>
    <cellStyle name="20% - Accent4 2 36" xfId="22270"/>
    <cellStyle name="20% - Accent4 2 36 2" xfId="45045"/>
    <cellStyle name="20% - Accent4 2 37" xfId="209"/>
    <cellStyle name="20% - Accent4 2 38" xfId="22926"/>
    <cellStyle name="20% - Accent4 2 4" xfId="622"/>
    <cellStyle name="20% - Accent4 2 4 10" xfId="8166"/>
    <cellStyle name="20% - Accent4 2 4 10 2" xfId="30941"/>
    <cellStyle name="20% - Accent4 2 4 11" xfId="8822"/>
    <cellStyle name="20% - Accent4 2 4 11 2" xfId="31597"/>
    <cellStyle name="20% - Accent4 2 4 12" xfId="9478"/>
    <cellStyle name="20% - Accent4 2 4 12 2" xfId="32253"/>
    <cellStyle name="20% - Accent4 2 4 13" xfId="10134"/>
    <cellStyle name="20% - Accent4 2 4 13 2" xfId="32909"/>
    <cellStyle name="20% - Accent4 2 4 14" xfId="10790"/>
    <cellStyle name="20% - Accent4 2 4 14 2" xfId="33565"/>
    <cellStyle name="20% - Accent4 2 4 15" xfId="11446"/>
    <cellStyle name="20% - Accent4 2 4 15 2" xfId="34221"/>
    <cellStyle name="20% - Accent4 2 4 16" xfId="12102"/>
    <cellStyle name="20% - Accent4 2 4 16 2" xfId="34877"/>
    <cellStyle name="20% - Accent4 2 4 17" xfId="12758"/>
    <cellStyle name="20% - Accent4 2 4 17 2" xfId="35533"/>
    <cellStyle name="20% - Accent4 2 4 18" xfId="13414"/>
    <cellStyle name="20% - Accent4 2 4 18 2" xfId="36189"/>
    <cellStyle name="20% - Accent4 2 4 19" xfId="14070"/>
    <cellStyle name="20% - Accent4 2 4 19 2" xfId="36845"/>
    <cellStyle name="20% - Accent4 2 4 2" xfId="1278"/>
    <cellStyle name="20% - Accent4 2 4 2 2" xfId="3574"/>
    <cellStyle name="20% - Accent4 2 4 2 2 2" xfId="26349"/>
    <cellStyle name="20% - Accent4 2 4 2 3" xfId="24053"/>
    <cellStyle name="20% - Accent4 2 4 20" xfId="14726"/>
    <cellStyle name="20% - Accent4 2 4 20 2" xfId="37501"/>
    <cellStyle name="20% - Accent4 2 4 21" xfId="15382"/>
    <cellStyle name="20% - Accent4 2 4 21 2" xfId="38157"/>
    <cellStyle name="20% - Accent4 2 4 22" xfId="16038"/>
    <cellStyle name="20% - Accent4 2 4 22 2" xfId="38813"/>
    <cellStyle name="20% - Accent4 2 4 23" xfId="16694"/>
    <cellStyle name="20% - Accent4 2 4 23 2" xfId="39469"/>
    <cellStyle name="20% - Accent4 2 4 24" xfId="17350"/>
    <cellStyle name="20% - Accent4 2 4 24 2" xfId="40125"/>
    <cellStyle name="20% - Accent4 2 4 25" xfId="18006"/>
    <cellStyle name="20% - Accent4 2 4 25 2" xfId="40781"/>
    <cellStyle name="20% - Accent4 2 4 26" xfId="18662"/>
    <cellStyle name="20% - Accent4 2 4 26 2" xfId="41437"/>
    <cellStyle name="20% - Accent4 2 4 27" xfId="19318"/>
    <cellStyle name="20% - Accent4 2 4 27 2" xfId="42093"/>
    <cellStyle name="20% - Accent4 2 4 28" xfId="19974"/>
    <cellStyle name="20% - Accent4 2 4 28 2" xfId="42749"/>
    <cellStyle name="20% - Accent4 2 4 29" xfId="20630"/>
    <cellStyle name="20% - Accent4 2 4 29 2" xfId="43405"/>
    <cellStyle name="20% - Accent4 2 4 3" xfId="1934"/>
    <cellStyle name="20% - Accent4 2 4 3 2" xfId="4230"/>
    <cellStyle name="20% - Accent4 2 4 3 2 2" xfId="27005"/>
    <cellStyle name="20% - Accent4 2 4 3 3" xfId="24709"/>
    <cellStyle name="20% - Accent4 2 4 30" xfId="21286"/>
    <cellStyle name="20% - Accent4 2 4 30 2" xfId="44061"/>
    <cellStyle name="20% - Accent4 2 4 31" xfId="21942"/>
    <cellStyle name="20% - Accent4 2 4 31 2" xfId="44717"/>
    <cellStyle name="20% - Accent4 2 4 32" xfId="22598"/>
    <cellStyle name="20% - Accent4 2 4 32 2" xfId="45373"/>
    <cellStyle name="20% - Accent4 2 4 33" xfId="23397"/>
    <cellStyle name="20% - Accent4 2 4 4" xfId="4886"/>
    <cellStyle name="20% - Accent4 2 4 4 2" xfId="27661"/>
    <cellStyle name="20% - Accent4 2 4 5" xfId="5542"/>
    <cellStyle name="20% - Accent4 2 4 5 2" xfId="28317"/>
    <cellStyle name="20% - Accent4 2 4 6" xfId="6198"/>
    <cellStyle name="20% - Accent4 2 4 6 2" xfId="28973"/>
    <cellStyle name="20% - Accent4 2 4 7" xfId="2918"/>
    <cellStyle name="20% - Accent4 2 4 7 2" xfId="25693"/>
    <cellStyle name="20% - Accent4 2 4 8" xfId="6854"/>
    <cellStyle name="20% - Accent4 2 4 8 2" xfId="29629"/>
    <cellStyle name="20% - Accent4 2 4 9" xfId="7510"/>
    <cellStyle name="20% - Accent4 2 4 9 2" xfId="30285"/>
    <cellStyle name="20% - Accent4 2 5" xfId="295"/>
    <cellStyle name="20% - Accent4 2 5 2" xfId="2590"/>
    <cellStyle name="20% - Accent4 2 5 2 2" xfId="25365"/>
    <cellStyle name="20% - Accent4 2 5 3" xfId="23069"/>
    <cellStyle name="20% - Accent4 2 6" xfId="950"/>
    <cellStyle name="20% - Accent4 2 6 2" xfId="3246"/>
    <cellStyle name="20% - Accent4 2 6 2 2" xfId="26021"/>
    <cellStyle name="20% - Accent4 2 6 3" xfId="23725"/>
    <cellStyle name="20% - Accent4 2 7" xfId="1606"/>
    <cellStyle name="20% - Accent4 2 7 2" xfId="3902"/>
    <cellStyle name="20% - Accent4 2 7 2 2" xfId="26677"/>
    <cellStyle name="20% - Accent4 2 7 3" xfId="24381"/>
    <cellStyle name="20% - Accent4 2 8" xfId="4558"/>
    <cellStyle name="20% - Accent4 2 8 2" xfId="27333"/>
    <cellStyle name="20% - Accent4 2 9" xfId="5214"/>
    <cellStyle name="20% - Accent4 2 9 2" xfId="27989"/>
    <cellStyle name="20% - Accent4 20" xfId="7166"/>
    <cellStyle name="20% - Accent4 20 2" xfId="29941"/>
    <cellStyle name="20% - Accent4 21" xfId="7822"/>
    <cellStyle name="20% - Accent4 21 2" xfId="30597"/>
    <cellStyle name="20% - Accent4 22" xfId="8478"/>
    <cellStyle name="20% - Accent4 22 2" xfId="31253"/>
    <cellStyle name="20% - Accent4 23" xfId="9134"/>
    <cellStyle name="20% - Accent4 23 2" xfId="31909"/>
    <cellStyle name="20% - Accent4 24" xfId="9790"/>
    <cellStyle name="20% - Accent4 24 2" xfId="32565"/>
    <cellStyle name="20% - Accent4 25" xfId="10446"/>
    <cellStyle name="20% - Accent4 25 2" xfId="33221"/>
    <cellStyle name="20% - Accent4 26" xfId="11102"/>
    <cellStyle name="20% - Accent4 26 2" xfId="33877"/>
    <cellStyle name="20% - Accent4 27" xfId="11758"/>
    <cellStyle name="20% - Accent4 27 2" xfId="34533"/>
    <cellStyle name="20% - Accent4 28" xfId="12414"/>
    <cellStyle name="20% - Accent4 28 2" xfId="35189"/>
    <cellStyle name="20% - Accent4 29" xfId="13070"/>
    <cellStyle name="20% - Accent4 29 2" xfId="35845"/>
    <cellStyle name="20% - Accent4 3" xfId="58"/>
    <cellStyle name="20% - Accent4 3 10" xfId="5885"/>
    <cellStyle name="20% - Accent4 3 10 2" xfId="28660"/>
    <cellStyle name="20% - Accent4 3 11" xfId="2277"/>
    <cellStyle name="20% - Accent4 3 11 2" xfId="25052"/>
    <cellStyle name="20% - Accent4 3 12" xfId="6541"/>
    <cellStyle name="20% - Accent4 3 12 2" xfId="29316"/>
    <cellStyle name="20% - Accent4 3 13" xfId="7197"/>
    <cellStyle name="20% - Accent4 3 13 2" xfId="29972"/>
    <cellStyle name="20% - Accent4 3 14" xfId="7853"/>
    <cellStyle name="20% - Accent4 3 14 2" xfId="30628"/>
    <cellStyle name="20% - Accent4 3 15" xfId="8509"/>
    <cellStyle name="20% - Accent4 3 15 2" xfId="31284"/>
    <cellStyle name="20% - Accent4 3 16" xfId="9165"/>
    <cellStyle name="20% - Accent4 3 16 2" xfId="31940"/>
    <cellStyle name="20% - Accent4 3 17" xfId="9821"/>
    <cellStyle name="20% - Accent4 3 17 2" xfId="32596"/>
    <cellStyle name="20% - Accent4 3 18" xfId="10477"/>
    <cellStyle name="20% - Accent4 3 18 2" xfId="33252"/>
    <cellStyle name="20% - Accent4 3 19" xfId="11133"/>
    <cellStyle name="20% - Accent4 3 19 2" xfId="33908"/>
    <cellStyle name="20% - Accent4 3 2" xfId="136"/>
    <cellStyle name="20% - Accent4 3 2 10" xfId="2332"/>
    <cellStyle name="20% - Accent4 3 2 10 2" xfId="25107"/>
    <cellStyle name="20% - Accent4 3 2 11" xfId="6596"/>
    <cellStyle name="20% - Accent4 3 2 11 2" xfId="29371"/>
    <cellStyle name="20% - Accent4 3 2 12" xfId="7252"/>
    <cellStyle name="20% - Accent4 3 2 12 2" xfId="30027"/>
    <cellStyle name="20% - Accent4 3 2 13" xfId="7908"/>
    <cellStyle name="20% - Accent4 3 2 13 2" xfId="30683"/>
    <cellStyle name="20% - Accent4 3 2 14" xfId="8564"/>
    <cellStyle name="20% - Accent4 3 2 14 2" xfId="31339"/>
    <cellStyle name="20% - Accent4 3 2 15" xfId="9220"/>
    <cellStyle name="20% - Accent4 3 2 15 2" xfId="31995"/>
    <cellStyle name="20% - Accent4 3 2 16" xfId="9876"/>
    <cellStyle name="20% - Accent4 3 2 16 2" xfId="32651"/>
    <cellStyle name="20% - Accent4 3 2 17" xfId="10532"/>
    <cellStyle name="20% - Accent4 3 2 17 2" xfId="33307"/>
    <cellStyle name="20% - Accent4 3 2 18" xfId="11188"/>
    <cellStyle name="20% - Accent4 3 2 18 2" xfId="33963"/>
    <cellStyle name="20% - Accent4 3 2 19" xfId="11844"/>
    <cellStyle name="20% - Accent4 3 2 19 2" xfId="34619"/>
    <cellStyle name="20% - Accent4 3 2 2" xfId="548"/>
    <cellStyle name="20% - Accent4 3 2 2 10" xfId="6781"/>
    <cellStyle name="20% - Accent4 3 2 2 10 2" xfId="29556"/>
    <cellStyle name="20% - Accent4 3 2 2 11" xfId="7437"/>
    <cellStyle name="20% - Accent4 3 2 2 11 2" xfId="30212"/>
    <cellStyle name="20% - Accent4 3 2 2 12" xfId="8093"/>
    <cellStyle name="20% - Accent4 3 2 2 12 2" xfId="30868"/>
    <cellStyle name="20% - Accent4 3 2 2 13" xfId="8749"/>
    <cellStyle name="20% - Accent4 3 2 2 13 2" xfId="31524"/>
    <cellStyle name="20% - Accent4 3 2 2 14" xfId="9405"/>
    <cellStyle name="20% - Accent4 3 2 2 14 2" xfId="32180"/>
    <cellStyle name="20% - Accent4 3 2 2 15" xfId="10061"/>
    <cellStyle name="20% - Accent4 3 2 2 15 2" xfId="32836"/>
    <cellStyle name="20% - Accent4 3 2 2 16" xfId="10717"/>
    <cellStyle name="20% - Accent4 3 2 2 16 2" xfId="33492"/>
    <cellStyle name="20% - Accent4 3 2 2 17" xfId="11373"/>
    <cellStyle name="20% - Accent4 3 2 2 17 2" xfId="34148"/>
    <cellStyle name="20% - Accent4 3 2 2 18" xfId="12029"/>
    <cellStyle name="20% - Accent4 3 2 2 18 2" xfId="34804"/>
    <cellStyle name="20% - Accent4 3 2 2 19" xfId="12685"/>
    <cellStyle name="20% - Accent4 3 2 2 19 2" xfId="35460"/>
    <cellStyle name="20% - Accent4 3 2 2 2" xfId="877"/>
    <cellStyle name="20% - Accent4 3 2 2 2 10" xfId="8421"/>
    <cellStyle name="20% - Accent4 3 2 2 2 10 2" xfId="31196"/>
    <cellStyle name="20% - Accent4 3 2 2 2 11" xfId="9077"/>
    <cellStyle name="20% - Accent4 3 2 2 2 11 2" xfId="31852"/>
    <cellStyle name="20% - Accent4 3 2 2 2 12" xfId="9733"/>
    <cellStyle name="20% - Accent4 3 2 2 2 12 2" xfId="32508"/>
    <cellStyle name="20% - Accent4 3 2 2 2 13" xfId="10389"/>
    <cellStyle name="20% - Accent4 3 2 2 2 13 2" xfId="33164"/>
    <cellStyle name="20% - Accent4 3 2 2 2 14" xfId="11045"/>
    <cellStyle name="20% - Accent4 3 2 2 2 14 2" xfId="33820"/>
    <cellStyle name="20% - Accent4 3 2 2 2 15" xfId="11701"/>
    <cellStyle name="20% - Accent4 3 2 2 2 15 2" xfId="34476"/>
    <cellStyle name="20% - Accent4 3 2 2 2 16" xfId="12357"/>
    <cellStyle name="20% - Accent4 3 2 2 2 16 2" xfId="35132"/>
    <cellStyle name="20% - Accent4 3 2 2 2 17" xfId="13013"/>
    <cellStyle name="20% - Accent4 3 2 2 2 17 2" xfId="35788"/>
    <cellStyle name="20% - Accent4 3 2 2 2 18" xfId="13669"/>
    <cellStyle name="20% - Accent4 3 2 2 2 18 2" xfId="36444"/>
    <cellStyle name="20% - Accent4 3 2 2 2 19" xfId="14325"/>
    <cellStyle name="20% - Accent4 3 2 2 2 19 2" xfId="37100"/>
    <cellStyle name="20% - Accent4 3 2 2 2 2" xfId="1533"/>
    <cellStyle name="20% - Accent4 3 2 2 2 2 2" xfId="3829"/>
    <cellStyle name="20% - Accent4 3 2 2 2 2 2 2" xfId="26604"/>
    <cellStyle name="20% - Accent4 3 2 2 2 2 3" xfId="24308"/>
    <cellStyle name="20% - Accent4 3 2 2 2 20" xfId="14981"/>
    <cellStyle name="20% - Accent4 3 2 2 2 20 2" xfId="37756"/>
    <cellStyle name="20% - Accent4 3 2 2 2 21" xfId="15637"/>
    <cellStyle name="20% - Accent4 3 2 2 2 21 2" xfId="38412"/>
    <cellStyle name="20% - Accent4 3 2 2 2 22" xfId="16293"/>
    <cellStyle name="20% - Accent4 3 2 2 2 22 2" xfId="39068"/>
    <cellStyle name="20% - Accent4 3 2 2 2 23" xfId="16949"/>
    <cellStyle name="20% - Accent4 3 2 2 2 23 2" xfId="39724"/>
    <cellStyle name="20% - Accent4 3 2 2 2 24" xfId="17605"/>
    <cellStyle name="20% - Accent4 3 2 2 2 24 2" xfId="40380"/>
    <cellStyle name="20% - Accent4 3 2 2 2 25" xfId="18261"/>
    <cellStyle name="20% - Accent4 3 2 2 2 25 2" xfId="41036"/>
    <cellStyle name="20% - Accent4 3 2 2 2 26" xfId="18917"/>
    <cellStyle name="20% - Accent4 3 2 2 2 26 2" xfId="41692"/>
    <cellStyle name="20% - Accent4 3 2 2 2 27" xfId="19573"/>
    <cellStyle name="20% - Accent4 3 2 2 2 27 2" xfId="42348"/>
    <cellStyle name="20% - Accent4 3 2 2 2 28" xfId="20229"/>
    <cellStyle name="20% - Accent4 3 2 2 2 28 2" xfId="43004"/>
    <cellStyle name="20% - Accent4 3 2 2 2 29" xfId="20885"/>
    <cellStyle name="20% - Accent4 3 2 2 2 29 2" xfId="43660"/>
    <cellStyle name="20% - Accent4 3 2 2 2 3" xfId="2189"/>
    <cellStyle name="20% - Accent4 3 2 2 2 3 2" xfId="4485"/>
    <cellStyle name="20% - Accent4 3 2 2 2 3 2 2" xfId="27260"/>
    <cellStyle name="20% - Accent4 3 2 2 2 3 3" xfId="24964"/>
    <cellStyle name="20% - Accent4 3 2 2 2 30" xfId="21541"/>
    <cellStyle name="20% - Accent4 3 2 2 2 30 2" xfId="44316"/>
    <cellStyle name="20% - Accent4 3 2 2 2 31" xfId="22197"/>
    <cellStyle name="20% - Accent4 3 2 2 2 31 2" xfId="44972"/>
    <cellStyle name="20% - Accent4 3 2 2 2 32" xfId="22853"/>
    <cellStyle name="20% - Accent4 3 2 2 2 32 2" xfId="45628"/>
    <cellStyle name="20% - Accent4 3 2 2 2 33" xfId="23652"/>
    <cellStyle name="20% - Accent4 3 2 2 2 4" xfId="5141"/>
    <cellStyle name="20% - Accent4 3 2 2 2 4 2" xfId="27916"/>
    <cellStyle name="20% - Accent4 3 2 2 2 5" xfId="5797"/>
    <cellStyle name="20% - Accent4 3 2 2 2 5 2" xfId="28572"/>
    <cellStyle name="20% - Accent4 3 2 2 2 6" xfId="6453"/>
    <cellStyle name="20% - Accent4 3 2 2 2 6 2" xfId="29228"/>
    <cellStyle name="20% - Accent4 3 2 2 2 7" xfId="3173"/>
    <cellStyle name="20% - Accent4 3 2 2 2 7 2" xfId="25948"/>
    <cellStyle name="20% - Accent4 3 2 2 2 8" xfId="7109"/>
    <cellStyle name="20% - Accent4 3 2 2 2 8 2" xfId="29884"/>
    <cellStyle name="20% - Accent4 3 2 2 2 9" xfId="7765"/>
    <cellStyle name="20% - Accent4 3 2 2 2 9 2" xfId="30540"/>
    <cellStyle name="20% - Accent4 3 2 2 20" xfId="13341"/>
    <cellStyle name="20% - Accent4 3 2 2 20 2" xfId="36116"/>
    <cellStyle name="20% - Accent4 3 2 2 21" xfId="13997"/>
    <cellStyle name="20% - Accent4 3 2 2 21 2" xfId="36772"/>
    <cellStyle name="20% - Accent4 3 2 2 22" xfId="14653"/>
    <cellStyle name="20% - Accent4 3 2 2 22 2" xfId="37428"/>
    <cellStyle name="20% - Accent4 3 2 2 23" xfId="15309"/>
    <cellStyle name="20% - Accent4 3 2 2 23 2" xfId="38084"/>
    <cellStyle name="20% - Accent4 3 2 2 24" xfId="15965"/>
    <cellStyle name="20% - Accent4 3 2 2 24 2" xfId="38740"/>
    <cellStyle name="20% - Accent4 3 2 2 25" xfId="16621"/>
    <cellStyle name="20% - Accent4 3 2 2 25 2" xfId="39396"/>
    <cellStyle name="20% - Accent4 3 2 2 26" xfId="17277"/>
    <cellStyle name="20% - Accent4 3 2 2 26 2" xfId="40052"/>
    <cellStyle name="20% - Accent4 3 2 2 27" xfId="17933"/>
    <cellStyle name="20% - Accent4 3 2 2 27 2" xfId="40708"/>
    <cellStyle name="20% - Accent4 3 2 2 28" xfId="18589"/>
    <cellStyle name="20% - Accent4 3 2 2 28 2" xfId="41364"/>
    <cellStyle name="20% - Accent4 3 2 2 29" xfId="19245"/>
    <cellStyle name="20% - Accent4 3 2 2 29 2" xfId="42020"/>
    <cellStyle name="20% - Accent4 3 2 2 3" xfId="1205"/>
    <cellStyle name="20% - Accent4 3 2 2 3 2" xfId="2845"/>
    <cellStyle name="20% - Accent4 3 2 2 3 2 2" xfId="25620"/>
    <cellStyle name="20% - Accent4 3 2 2 3 3" xfId="23980"/>
    <cellStyle name="20% - Accent4 3 2 2 30" xfId="19901"/>
    <cellStyle name="20% - Accent4 3 2 2 30 2" xfId="42676"/>
    <cellStyle name="20% - Accent4 3 2 2 31" xfId="20557"/>
    <cellStyle name="20% - Accent4 3 2 2 31 2" xfId="43332"/>
    <cellStyle name="20% - Accent4 3 2 2 32" xfId="21213"/>
    <cellStyle name="20% - Accent4 3 2 2 32 2" xfId="43988"/>
    <cellStyle name="20% - Accent4 3 2 2 33" xfId="21869"/>
    <cellStyle name="20% - Accent4 3 2 2 33 2" xfId="44644"/>
    <cellStyle name="20% - Accent4 3 2 2 34" xfId="22525"/>
    <cellStyle name="20% - Accent4 3 2 2 34 2" xfId="45300"/>
    <cellStyle name="20% - Accent4 3 2 2 35" xfId="23324"/>
    <cellStyle name="20% - Accent4 3 2 2 4" xfId="1861"/>
    <cellStyle name="20% - Accent4 3 2 2 4 2" xfId="3501"/>
    <cellStyle name="20% - Accent4 3 2 2 4 2 2" xfId="26276"/>
    <cellStyle name="20% - Accent4 3 2 2 4 3" xfId="24636"/>
    <cellStyle name="20% - Accent4 3 2 2 5" xfId="4157"/>
    <cellStyle name="20% - Accent4 3 2 2 5 2" xfId="26932"/>
    <cellStyle name="20% - Accent4 3 2 2 6" xfId="4813"/>
    <cellStyle name="20% - Accent4 3 2 2 6 2" xfId="27588"/>
    <cellStyle name="20% - Accent4 3 2 2 7" xfId="5469"/>
    <cellStyle name="20% - Accent4 3 2 2 7 2" xfId="28244"/>
    <cellStyle name="20% - Accent4 3 2 2 8" xfId="6125"/>
    <cellStyle name="20% - Accent4 3 2 2 8 2" xfId="28900"/>
    <cellStyle name="20% - Accent4 3 2 2 9" xfId="2517"/>
    <cellStyle name="20% - Accent4 3 2 2 9 2" xfId="25292"/>
    <cellStyle name="20% - Accent4 3 2 20" xfId="12500"/>
    <cellStyle name="20% - Accent4 3 2 20 2" xfId="35275"/>
    <cellStyle name="20% - Accent4 3 2 21" xfId="13156"/>
    <cellStyle name="20% - Accent4 3 2 21 2" xfId="35931"/>
    <cellStyle name="20% - Accent4 3 2 22" xfId="13812"/>
    <cellStyle name="20% - Accent4 3 2 22 2" xfId="36587"/>
    <cellStyle name="20% - Accent4 3 2 23" xfId="14468"/>
    <cellStyle name="20% - Accent4 3 2 23 2" xfId="37243"/>
    <cellStyle name="20% - Accent4 3 2 24" xfId="15124"/>
    <cellStyle name="20% - Accent4 3 2 24 2" xfId="37899"/>
    <cellStyle name="20% - Accent4 3 2 25" xfId="15780"/>
    <cellStyle name="20% - Accent4 3 2 25 2" xfId="38555"/>
    <cellStyle name="20% - Accent4 3 2 26" xfId="16436"/>
    <cellStyle name="20% - Accent4 3 2 26 2" xfId="39211"/>
    <cellStyle name="20% - Accent4 3 2 27" xfId="17092"/>
    <cellStyle name="20% - Accent4 3 2 27 2" xfId="39867"/>
    <cellStyle name="20% - Accent4 3 2 28" xfId="17748"/>
    <cellStyle name="20% - Accent4 3 2 28 2" xfId="40523"/>
    <cellStyle name="20% - Accent4 3 2 29" xfId="18404"/>
    <cellStyle name="20% - Accent4 3 2 29 2" xfId="41179"/>
    <cellStyle name="20% - Accent4 3 2 3" xfId="692"/>
    <cellStyle name="20% - Accent4 3 2 3 10" xfId="8236"/>
    <cellStyle name="20% - Accent4 3 2 3 10 2" xfId="31011"/>
    <cellStyle name="20% - Accent4 3 2 3 11" xfId="8892"/>
    <cellStyle name="20% - Accent4 3 2 3 11 2" xfId="31667"/>
    <cellStyle name="20% - Accent4 3 2 3 12" xfId="9548"/>
    <cellStyle name="20% - Accent4 3 2 3 12 2" xfId="32323"/>
    <cellStyle name="20% - Accent4 3 2 3 13" xfId="10204"/>
    <cellStyle name="20% - Accent4 3 2 3 13 2" xfId="32979"/>
    <cellStyle name="20% - Accent4 3 2 3 14" xfId="10860"/>
    <cellStyle name="20% - Accent4 3 2 3 14 2" xfId="33635"/>
    <cellStyle name="20% - Accent4 3 2 3 15" xfId="11516"/>
    <cellStyle name="20% - Accent4 3 2 3 15 2" xfId="34291"/>
    <cellStyle name="20% - Accent4 3 2 3 16" xfId="12172"/>
    <cellStyle name="20% - Accent4 3 2 3 16 2" xfId="34947"/>
    <cellStyle name="20% - Accent4 3 2 3 17" xfId="12828"/>
    <cellStyle name="20% - Accent4 3 2 3 17 2" xfId="35603"/>
    <cellStyle name="20% - Accent4 3 2 3 18" xfId="13484"/>
    <cellStyle name="20% - Accent4 3 2 3 18 2" xfId="36259"/>
    <cellStyle name="20% - Accent4 3 2 3 19" xfId="14140"/>
    <cellStyle name="20% - Accent4 3 2 3 19 2" xfId="36915"/>
    <cellStyle name="20% - Accent4 3 2 3 2" xfId="1348"/>
    <cellStyle name="20% - Accent4 3 2 3 2 2" xfId="3644"/>
    <cellStyle name="20% - Accent4 3 2 3 2 2 2" xfId="26419"/>
    <cellStyle name="20% - Accent4 3 2 3 2 3" xfId="24123"/>
    <cellStyle name="20% - Accent4 3 2 3 20" xfId="14796"/>
    <cellStyle name="20% - Accent4 3 2 3 20 2" xfId="37571"/>
    <cellStyle name="20% - Accent4 3 2 3 21" xfId="15452"/>
    <cellStyle name="20% - Accent4 3 2 3 21 2" xfId="38227"/>
    <cellStyle name="20% - Accent4 3 2 3 22" xfId="16108"/>
    <cellStyle name="20% - Accent4 3 2 3 22 2" xfId="38883"/>
    <cellStyle name="20% - Accent4 3 2 3 23" xfId="16764"/>
    <cellStyle name="20% - Accent4 3 2 3 23 2" xfId="39539"/>
    <cellStyle name="20% - Accent4 3 2 3 24" xfId="17420"/>
    <cellStyle name="20% - Accent4 3 2 3 24 2" xfId="40195"/>
    <cellStyle name="20% - Accent4 3 2 3 25" xfId="18076"/>
    <cellStyle name="20% - Accent4 3 2 3 25 2" xfId="40851"/>
    <cellStyle name="20% - Accent4 3 2 3 26" xfId="18732"/>
    <cellStyle name="20% - Accent4 3 2 3 26 2" xfId="41507"/>
    <cellStyle name="20% - Accent4 3 2 3 27" xfId="19388"/>
    <cellStyle name="20% - Accent4 3 2 3 27 2" xfId="42163"/>
    <cellStyle name="20% - Accent4 3 2 3 28" xfId="20044"/>
    <cellStyle name="20% - Accent4 3 2 3 28 2" xfId="42819"/>
    <cellStyle name="20% - Accent4 3 2 3 29" xfId="20700"/>
    <cellStyle name="20% - Accent4 3 2 3 29 2" xfId="43475"/>
    <cellStyle name="20% - Accent4 3 2 3 3" xfId="2004"/>
    <cellStyle name="20% - Accent4 3 2 3 3 2" xfId="4300"/>
    <cellStyle name="20% - Accent4 3 2 3 3 2 2" xfId="27075"/>
    <cellStyle name="20% - Accent4 3 2 3 3 3" xfId="24779"/>
    <cellStyle name="20% - Accent4 3 2 3 30" xfId="21356"/>
    <cellStyle name="20% - Accent4 3 2 3 30 2" xfId="44131"/>
    <cellStyle name="20% - Accent4 3 2 3 31" xfId="22012"/>
    <cellStyle name="20% - Accent4 3 2 3 31 2" xfId="44787"/>
    <cellStyle name="20% - Accent4 3 2 3 32" xfId="22668"/>
    <cellStyle name="20% - Accent4 3 2 3 32 2" xfId="45443"/>
    <cellStyle name="20% - Accent4 3 2 3 33" xfId="23467"/>
    <cellStyle name="20% - Accent4 3 2 3 4" xfId="4956"/>
    <cellStyle name="20% - Accent4 3 2 3 4 2" xfId="27731"/>
    <cellStyle name="20% - Accent4 3 2 3 5" xfId="5612"/>
    <cellStyle name="20% - Accent4 3 2 3 5 2" xfId="28387"/>
    <cellStyle name="20% - Accent4 3 2 3 6" xfId="6268"/>
    <cellStyle name="20% - Accent4 3 2 3 6 2" xfId="29043"/>
    <cellStyle name="20% - Accent4 3 2 3 7" xfId="2988"/>
    <cellStyle name="20% - Accent4 3 2 3 7 2" xfId="25763"/>
    <cellStyle name="20% - Accent4 3 2 3 8" xfId="6924"/>
    <cellStyle name="20% - Accent4 3 2 3 8 2" xfId="29699"/>
    <cellStyle name="20% - Accent4 3 2 3 9" xfId="7580"/>
    <cellStyle name="20% - Accent4 3 2 3 9 2" xfId="30355"/>
    <cellStyle name="20% - Accent4 3 2 30" xfId="19060"/>
    <cellStyle name="20% - Accent4 3 2 30 2" xfId="41835"/>
    <cellStyle name="20% - Accent4 3 2 31" xfId="19716"/>
    <cellStyle name="20% - Accent4 3 2 31 2" xfId="42491"/>
    <cellStyle name="20% - Accent4 3 2 32" xfId="20372"/>
    <cellStyle name="20% - Accent4 3 2 32 2" xfId="43147"/>
    <cellStyle name="20% - Accent4 3 2 33" xfId="21028"/>
    <cellStyle name="20% - Accent4 3 2 33 2" xfId="43803"/>
    <cellStyle name="20% - Accent4 3 2 34" xfId="21684"/>
    <cellStyle name="20% - Accent4 3 2 34 2" xfId="44459"/>
    <cellStyle name="20% - Accent4 3 2 35" xfId="22340"/>
    <cellStyle name="20% - Accent4 3 2 35 2" xfId="45115"/>
    <cellStyle name="20% - Accent4 3 2 36" xfId="22996"/>
    <cellStyle name="20% - Accent4 3 2 4" xfId="365"/>
    <cellStyle name="20% - Accent4 3 2 4 2" xfId="2660"/>
    <cellStyle name="20% - Accent4 3 2 4 2 2" xfId="25435"/>
    <cellStyle name="20% - Accent4 3 2 4 3" xfId="23139"/>
    <cellStyle name="20% - Accent4 3 2 5" xfId="1020"/>
    <cellStyle name="20% - Accent4 3 2 5 2" xfId="3316"/>
    <cellStyle name="20% - Accent4 3 2 5 2 2" xfId="26091"/>
    <cellStyle name="20% - Accent4 3 2 5 3" xfId="23795"/>
    <cellStyle name="20% - Accent4 3 2 6" xfId="1676"/>
    <cellStyle name="20% - Accent4 3 2 6 2" xfId="3972"/>
    <cellStyle name="20% - Accent4 3 2 6 2 2" xfId="26747"/>
    <cellStyle name="20% - Accent4 3 2 6 3" xfId="24451"/>
    <cellStyle name="20% - Accent4 3 2 7" xfId="4628"/>
    <cellStyle name="20% - Accent4 3 2 7 2" xfId="27403"/>
    <cellStyle name="20% - Accent4 3 2 8" xfId="5284"/>
    <cellStyle name="20% - Accent4 3 2 8 2" xfId="28059"/>
    <cellStyle name="20% - Accent4 3 2 9" xfId="5940"/>
    <cellStyle name="20% - Accent4 3 2 9 2" xfId="28715"/>
    <cellStyle name="20% - Accent4 3 20" xfId="11789"/>
    <cellStyle name="20% - Accent4 3 20 2" xfId="34564"/>
    <cellStyle name="20% - Accent4 3 21" xfId="12445"/>
    <cellStyle name="20% - Accent4 3 21 2" xfId="35220"/>
    <cellStyle name="20% - Accent4 3 22" xfId="13101"/>
    <cellStyle name="20% - Accent4 3 22 2" xfId="35876"/>
    <cellStyle name="20% - Accent4 3 23" xfId="13757"/>
    <cellStyle name="20% - Accent4 3 23 2" xfId="36532"/>
    <cellStyle name="20% - Accent4 3 24" xfId="14413"/>
    <cellStyle name="20% - Accent4 3 24 2" xfId="37188"/>
    <cellStyle name="20% - Accent4 3 25" xfId="15069"/>
    <cellStyle name="20% - Accent4 3 25 2" xfId="37844"/>
    <cellStyle name="20% - Accent4 3 26" xfId="15725"/>
    <cellStyle name="20% - Accent4 3 26 2" xfId="38500"/>
    <cellStyle name="20% - Accent4 3 27" xfId="16381"/>
    <cellStyle name="20% - Accent4 3 27 2" xfId="39156"/>
    <cellStyle name="20% - Accent4 3 28" xfId="17037"/>
    <cellStyle name="20% - Accent4 3 28 2" xfId="39812"/>
    <cellStyle name="20% - Accent4 3 29" xfId="17693"/>
    <cellStyle name="20% - Accent4 3 29 2" xfId="40468"/>
    <cellStyle name="20% - Accent4 3 3" xfId="494"/>
    <cellStyle name="20% - Accent4 3 3 10" xfId="6726"/>
    <cellStyle name="20% - Accent4 3 3 10 2" xfId="29501"/>
    <cellStyle name="20% - Accent4 3 3 11" xfId="7382"/>
    <cellStyle name="20% - Accent4 3 3 11 2" xfId="30157"/>
    <cellStyle name="20% - Accent4 3 3 12" xfId="8038"/>
    <cellStyle name="20% - Accent4 3 3 12 2" xfId="30813"/>
    <cellStyle name="20% - Accent4 3 3 13" xfId="8694"/>
    <cellStyle name="20% - Accent4 3 3 13 2" xfId="31469"/>
    <cellStyle name="20% - Accent4 3 3 14" xfId="9350"/>
    <cellStyle name="20% - Accent4 3 3 14 2" xfId="32125"/>
    <cellStyle name="20% - Accent4 3 3 15" xfId="10006"/>
    <cellStyle name="20% - Accent4 3 3 15 2" xfId="32781"/>
    <cellStyle name="20% - Accent4 3 3 16" xfId="10662"/>
    <cellStyle name="20% - Accent4 3 3 16 2" xfId="33437"/>
    <cellStyle name="20% - Accent4 3 3 17" xfId="11318"/>
    <cellStyle name="20% - Accent4 3 3 17 2" xfId="34093"/>
    <cellStyle name="20% - Accent4 3 3 18" xfId="11974"/>
    <cellStyle name="20% - Accent4 3 3 18 2" xfId="34749"/>
    <cellStyle name="20% - Accent4 3 3 19" xfId="12630"/>
    <cellStyle name="20% - Accent4 3 3 19 2" xfId="35405"/>
    <cellStyle name="20% - Accent4 3 3 2" xfId="822"/>
    <cellStyle name="20% - Accent4 3 3 2 10" xfId="8366"/>
    <cellStyle name="20% - Accent4 3 3 2 10 2" xfId="31141"/>
    <cellStyle name="20% - Accent4 3 3 2 11" xfId="9022"/>
    <cellStyle name="20% - Accent4 3 3 2 11 2" xfId="31797"/>
    <cellStyle name="20% - Accent4 3 3 2 12" xfId="9678"/>
    <cellStyle name="20% - Accent4 3 3 2 12 2" xfId="32453"/>
    <cellStyle name="20% - Accent4 3 3 2 13" xfId="10334"/>
    <cellStyle name="20% - Accent4 3 3 2 13 2" xfId="33109"/>
    <cellStyle name="20% - Accent4 3 3 2 14" xfId="10990"/>
    <cellStyle name="20% - Accent4 3 3 2 14 2" xfId="33765"/>
    <cellStyle name="20% - Accent4 3 3 2 15" xfId="11646"/>
    <cellStyle name="20% - Accent4 3 3 2 15 2" xfId="34421"/>
    <cellStyle name="20% - Accent4 3 3 2 16" xfId="12302"/>
    <cellStyle name="20% - Accent4 3 3 2 16 2" xfId="35077"/>
    <cellStyle name="20% - Accent4 3 3 2 17" xfId="12958"/>
    <cellStyle name="20% - Accent4 3 3 2 17 2" xfId="35733"/>
    <cellStyle name="20% - Accent4 3 3 2 18" xfId="13614"/>
    <cellStyle name="20% - Accent4 3 3 2 18 2" xfId="36389"/>
    <cellStyle name="20% - Accent4 3 3 2 19" xfId="14270"/>
    <cellStyle name="20% - Accent4 3 3 2 19 2" xfId="37045"/>
    <cellStyle name="20% - Accent4 3 3 2 2" xfId="1478"/>
    <cellStyle name="20% - Accent4 3 3 2 2 2" xfId="3774"/>
    <cellStyle name="20% - Accent4 3 3 2 2 2 2" xfId="26549"/>
    <cellStyle name="20% - Accent4 3 3 2 2 3" xfId="24253"/>
    <cellStyle name="20% - Accent4 3 3 2 20" xfId="14926"/>
    <cellStyle name="20% - Accent4 3 3 2 20 2" xfId="37701"/>
    <cellStyle name="20% - Accent4 3 3 2 21" xfId="15582"/>
    <cellStyle name="20% - Accent4 3 3 2 21 2" xfId="38357"/>
    <cellStyle name="20% - Accent4 3 3 2 22" xfId="16238"/>
    <cellStyle name="20% - Accent4 3 3 2 22 2" xfId="39013"/>
    <cellStyle name="20% - Accent4 3 3 2 23" xfId="16894"/>
    <cellStyle name="20% - Accent4 3 3 2 23 2" xfId="39669"/>
    <cellStyle name="20% - Accent4 3 3 2 24" xfId="17550"/>
    <cellStyle name="20% - Accent4 3 3 2 24 2" xfId="40325"/>
    <cellStyle name="20% - Accent4 3 3 2 25" xfId="18206"/>
    <cellStyle name="20% - Accent4 3 3 2 25 2" xfId="40981"/>
    <cellStyle name="20% - Accent4 3 3 2 26" xfId="18862"/>
    <cellStyle name="20% - Accent4 3 3 2 26 2" xfId="41637"/>
    <cellStyle name="20% - Accent4 3 3 2 27" xfId="19518"/>
    <cellStyle name="20% - Accent4 3 3 2 27 2" xfId="42293"/>
    <cellStyle name="20% - Accent4 3 3 2 28" xfId="20174"/>
    <cellStyle name="20% - Accent4 3 3 2 28 2" xfId="42949"/>
    <cellStyle name="20% - Accent4 3 3 2 29" xfId="20830"/>
    <cellStyle name="20% - Accent4 3 3 2 29 2" xfId="43605"/>
    <cellStyle name="20% - Accent4 3 3 2 3" xfId="2134"/>
    <cellStyle name="20% - Accent4 3 3 2 3 2" xfId="4430"/>
    <cellStyle name="20% - Accent4 3 3 2 3 2 2" xfId="27205"/>
    <cellStyle name="20% - Accent4 3 3 2 3 3" xfId="24909"/>
    <cellStyle name="20% - Accent4 3 3 2 30" xfId="21486"/>
    <cellStyle name="20% - Accent4 3 3 2 30 2" xfId="44261"/>
    <cellStyle name="20% - Accent4 3 3 2 31" xfId="22142"/>
    <cellStyle name="20% - Accent4 3 3 2 31 2" xfId="44917"/>
    <cellStyle name="20% - Accent4 3 3 2 32" xfId="22798"/>
    <cellStyle name="20% - Accent4 3 3 2 32 2" xfId="45573"/>
    <cellStyle name="20% - Accent4 3 3 2 33" xfId="23597"/>
    <cellStyle name="20% - Accent4 3 3 2 4" xfId="5086"/>
    <cellStyle name="20% - Accent4 3 3 2 4 2" xfId="27861"/>
    <cellStyle name="20% - Accent4 3 3 2 5" xfId="5742"/>
    <cellStyle name="20% - Accent4 3 3 2 5 2" xfId="28517"/>
    <cellStyle name="20% - Accent4 3 3 2 6" xfId="6398"/>
    <cellStyle name="20% - Accent4 3 3 2 6 2" xfId="29173"/>
    <cellStyle name="20% - Accent4 3 3 2 7" xfId="3118"/>
    <cellStyle name="20% - Accent4 3 3 2 7 2" xfId="25893"/>
    <cellStyle name="20% - Accent4 3 3 2 8" xfId="7054"/>
    <cellStyle name="20% - Accent4 3 3 2 8 2" xfId="29829"/>
    <cellStyle name="20% - Accent4 3 3 2 9" xfId="7710"/>
    <cellStyle name="20% - Accent4 3 3 2 9 2" xfId="30485"/>
    <cellStyle name="20% - Accent4 3 3 20" xfId="13286"/>
    <cellStyle name="20% - Accent4 3 3 20 2" xfId="36061"/>
    <cellStyle name="20% - Accent4 3 3 21" xfId="13942"/>
    <cellStyle name="20% - Accent4 3 3 21 2" xfId="36717"/>
    <cellStyle name="20% - Accent4 3 3 22" xfId="14598"/>
    <cellStyle name="20% - Accent4 3 3 22 2" xfId="37373"/>
    <cellStyle name="20% - Accent4 3 3 23" xfId="15254"/>
    <cellStyle name="20% - Accent4 3 3 23 2" xfId="38029"/>
    <cellStyle name="20% - Accent4 3 3 24" xfId="15910"/>
    <cellStyle name="20% - Accent4 3 3 24 2" xfId="38685"/>
    <cellStyle name="20% - Accent4 3 3 25" xfId="16566"/>
    <cellStyle name="20% - Accent4 3 3 25 2" xfId="39341"/>
    <cellStyle name="20% - Accent4 3 3 26" xfId="17222"/>
    <cellStyle name="20% - Accent4 3 3 26 2" xfId="39997"/>
    <cellStyle name="20% - Accent4 3 3 27" xfId="17878"/>
    <cellStyle name="20% - Accent4 3 3 27 2" xfId="40653"/>
    <cellStyle name="20% - Accent4 3 3 28" xfId="18534"/>
    <cellStyle name="20% - Accent4 3 3 28 2" xfId="41309"/>
    <cellStyle name="20% - Accent4 3 3 29" xfId="19190"/>
    <cellStyle name="20% - Accent4 3 3 29 2" xfId="41965"/>
    <cellStyle name="20% - Accent4 3 3 3" xfId="1150"/>
    <cellStyle name="20% - Accent4 3 3 3 2" xfId="2790"/>
    <cellStyle name="20% - Accent4 3 3 3 2 2" xfId="25565"/>
    <cellStyle name="20% - Accent4 3 3 3 3" xfId="23925"/>
    <cellStyle name="20% - Accent4 3 3 30" xfId="19846"/>
    <cellStyle name="20% - Accent4 3 3 30 2" xfId="42621"/>
    <cellStyle name="20% - Accent4 3 3 31" xfId="20502"/>
    <cellStyle name="20% - Accent4 3 3 31 2" xfId="43277"/>
    <cellStyle name="20% - Accent4 3 3 32" xfId="21158"/>
    <cellStyle name="20% - Accent4 3 3 32 2" xfId="43933"/>
    <cellStyle name="20% - Accent4 3 3 33" xfId="21814"/>
    <cellStyle name="20% - Accent4 3 3 33 2" xfId="44589"/>
    <cellStyle name="20% - Accent4 3 3 34" xfId="22470"/>
    <cellStyle name="20% - Accent4 3 3 34 2" xfId="45245"/>
    <cellStyle name="20% - Accent4 3 3 35" xfId="23269"/>
    <cellStyle name="20% - Accent4 3 3 4" xfId="1806"/>
    <cellStyle name="20% - Accent4 3 3 4 2" xfId="3446"/>
    <cellStyle name="20% - Accent4 3 3 4 2 2" xfId="26221"/>
    <cellStyle name="20% - Accent4 3 3 4 3" xfId="24581"/>
    <cellStyle name="20% - Accent4 3 3 5" xfId="4102"/>
    <cellStyle name="20% - Accent4 3 3 5 2" xfId="26877"/>
    <cellStyle name="20% - Accent4 3 3 6" xfId="4758"/>
    <cellStyle name="20% - Accent4 3 3 6 2" xfId="27533"/>
    <cellStyle name="20% - Accent4 3 3 7" xfId="5414"/>
    <cellStyle name="20% - Accent4 3 3 7 2" xfId="28189"/>
    <cellStyle name="20% - Accent4 3 3 8" xfId="6070"/>
    <cellStyle name="20% - Accent4 3 3 8 2" xfId="28845"/>
    <cellStyle name="20% - Accent4 3 3 9" xfId="2462"/>
    <cellStyle name="20% - Accent4 3 3 9 2" xfId="25237"/>
    <cellStyle name="20% - Accent4 3 30" xfId="18349"/>
    <cellStyle name="20% - Accent4 3 30 2" xfId="41124"/>
    <cellStyle name="20% - Accent4 3 31" xfId="19005"/>
    <cellStyle name="20% - Accent4 3 31 2" xfId="41780"/>
    <cellStyle name="20% - Accent4 3 32" xfId="19661"/>
    <cellStyle name="20% - Accent4 3 32 2" xfId="42436"/>
    <cellStyle name="20% - Accent4 3 33" xfId="20317"/>
    <cellStyle name="20% - Accent4 3 33 2" xfId="43092"/>
    <cellStyle name="20% - Accent4 3 34" xfId="20973"/>
    <cellStyle name="20% - Accent4 3 34 2" xfId="43748"/>
    <cellStyle name="20% - Accent4 3 35" xfId="21629"/>
    <cellStyle name="20% - Accent4 3 35 2" xfId="44404"/>
    <cellStyle name="20% - Accent4 3 36" xfId="22285"/>
    <cellStyle name="20% - Accent4 3 36 2" xfId="45060"/>
    <cellStyle name="20% - Accent4 3 37" xfId="224"/>
    <cellStyle name="20% - Accent4 3 38" xfId="22941"/>
    <cellStyle name="20% - Accent4 3 4" xfId="637"/>
    <cellStyle name="20% - Accent4 3 4 10" xfId="8181"/>
    <cellStyle name="20% - Accent4 3 4 10 2" xfId="30956"/>
    <cellStyle name="20% - Accent4 3 4 11" xfId="8837"/>
    <cellStyle name="20% - Accent4 3 4 11 2" xfId="31612"/>
    <cellStyle name="20% - Accent4 3 4 12" xfId="9493"/>
    <cellStyle name="20% - Accent4 3 4 12 2" xfId="32268"/>
    <cellStyle name="20% - Accent4 3 4 13" xfId="10149"/>
    <cellStyle name="20% - Accent4 3 4 13 2" xfId="32924"/>
    <cellStyle name="20% - Accent4 3 4 14" xfId="10805"/>
    <cellStyle name="20% - Accent4 3 4 14 2" xfId="33580"/>
    <cellStyle name="20% - Accent4 3 4 15" xfId="11461"/>
    <cellStyle name="20% - Accent4 3 4 15 2" xfId="34236"/>
    <cellStyle name="20% - Accent4 3 4 16" xfId="12117"/>
    <cellStyle name="20% - Accent4 3 4 16 2" xfId="34892"/>
    <cellStyle name="20% - Accent4 3 4 17" xfId="12773"/>
    <cellStyle name="20% - Accent4 3 4 17 2" xfId="35548"/>
    <cellStyle name="20% - Accent4 3 4 18" xfId="13429"/>
    <cellStyle name="20% - Accent4 3 4 18 2" xfId="36204"/>
    <cellStyle name="20% - Accent4 3 4 19" xfId="14085"/>
    <cellStyle name="20% - Accent4 3 4 19 2" xfId="36860"/>
    <cellStyle name="20% - Accent4 3 4 2" xfId="1293"/>
    <cellStyle name="20% - Accent4 3 4 2 2" xfId="3589"/>
    <cellStyle name="20% - Accent4 3 4 2 2 2" xfId="26364"/>
    <cellStyle name="20% - Accent4 3 4 2 3" xfId="24068"/>
    <cellStyle name="20% - Accent4 3 4 20" xfId="14741"/>
    <cellStyle name="20% - Accent4 3 4 20 2" xfId="37516"/>
    <cellStyle name="20% - Accent4 3 4 21" xfId="15397"/>
    <cellStyle name="20% - Accent4 3 4 21 2" xfId="38172"/>
    <cellStyle name="20% - Accent4 3 4 22" xfId="16053"/>
    <cellStyle name="20% - Accent4 3 4 22 2" xfId="38828"/>
    <cellStyle name="20% - Accent4 3 4 23" xfId="16709"/>
    <cellStyle name="20% - Accent4 3 4 23 2" xfId="39484"/>
    <cellStyle name="20% - Accent4 3 4 24" xfId="17365"/>
    <cellStyle name="20% - Accent4 3 4 24 2" xfId="40140"/>
    <cellStyle name="20% - Accent4 3 4 25" xfId="18021"/>
    <cellStyle name="20% - Accent4 3 4 25 2" xfId="40796"/>
    <cellStyle name="20% - Accent4 3 4 26" xfId="18677"/>
    <cellStyle name="20% - Accent4 3 4 26 2" xfId="41452"/>
    <cellStyle name="20% - Accent4 3 4 27" xfId="19333"/>
    <cellStyle name="20% - Accent4 3 4 27 2" xfId="42108"/>
    <cellStyle name="20% - Accent4 3 4 28" xfId="19989"/>
    <cellStyle name="20% - Accent4 3 4 28 2" xfId="42764"/>
    <cellStyle name="20% - Accent4 3 4 29" xfId="20645"/>
    <cellStyle name="20% - Accent4 3 4 29 2" xfId="43420"/>
    <cellStyle name="20% - Accent4 3 4 3" xfId="1949"/>
    <cellStyle name="20% - Accent4 3 4 3 2" xfId="4245"/>
    <cellStyle name="20% - Accent4 3 4 3 2 2" xfId="27020"/>
    <cellStyle name="20% - Accent4 3 4 3 3" xfId="24724"/>
    <cellStyle name="20% - Accent4 3 4 30" xfId="21301"/>
    <cellStyle name="20% - Accent4 3 4 30 2" xfId="44076"/>
    <cellStyle name="20% - Accent4 3 4 31" xfId="21957"/>
    <cellStyle name="20% - Accent4 3 4 31 2" xfId="44732"/>
    <cellStyle name="20% - Accent4 3 4 32" xfId="22613"/>
    <cellStyle name="20% - Accent4 3 4 32 2" xfId="45388"/>
    <cellStyle name="20% - Accent4 3 4 33" xfId="23412"/>
    <cellStyle name="20% - Accent4 3 4 4" xfId="4901"/>
    <cellStyle name="20% - Accent4 3 4 4 2" xfId="27676"/>
    <cellStyle name="20% - Accent4 3 4 5" xfId="5557"/>
    <cellStyle name="20% - Accent4 3 4 5 2" xfId="28332"/>
    <cellStyle name="20% - Accent4 3 4 6" xfId="6213"/>
    <cellStyle name="20% - Accent4 3 4 6 2" xfId="28988"/>
    <cellStyle name="20% - Accent4 3 4 7" xfId="2933"/>
    <cellStyle name="20% - Accent4 3 4 7 2" xfId="25708"/>
    <cellStyle name="20% - Accent4 3 4 8" xfId="6869"/>
    <cellStyle name="20% - Accent4 3 4 8 2" xfId="29644"/>
    <cellStyle name="20% - Accent4 3 4 9" xfId="7525"/>
    <cellStyle name="20% - Accent4 3 4 9 2" xfId="30300"/>
    <cellStyle name="20% - Accent4 3 5" xfId="310"/>
    <cellStyle name="20% - Accent4 3 5 2" xfId="2605"/>
    <cellStyle name="20% - Accent4 3 5 2 2" xfId="25380"/>
    <cellStyle name="20% - Accent4 3 5 3" xfId="23084"/>
    <cellStyle name="20% - Accent4 3 6" xfId="965"/>
    <cellStyle name="20% - Accent4 3 6 2" xfId="3261"/>
    <cellStyle name="20% - Accent4 3 6 2 2" xfId="26036"/>
    <cellStyle name="20% - Accent4 3 6 3" xfId="23740"/>
    <cellStyle name="20% - Accent4 3 7" xfId="1621"/>
    <cellStyle name="20% - Accent4 3 7 2" xfId="3917"/>
    <cellStyle name="20% - Accent4 3 7 2 2" xfId="26692"/>
    <cellStyle name="20% - Accent4 3 7 3" xfId="24396"/>
    <cellStyle name="20% - Accent4 3 8" xfId="4573"/>
    <cellStyle name="20% - Accent4 3 8 2" xfId="27348"/>
    <cellStyle name="20% - Accent4 3 9" xfId="5229"/>
    <cellStyle name="20% - Accent4 3 9 2" xfId="28004"/>
    <cellStyle name="20% - Accent4 30" xfId="13726"/>
    <cellStyle name="20% - Accent4 30 2" xfId="36501"/>
    <cellStyle name="20% - Accent4 31" xfId="14382"/>
    <cellStyle name="20% - Accent4 31 2" xfId="37157"/>
    <cellStyle name="20% - Accent4 32" xfId="15038"/>
    <cellStyle name="20% - Accent4 32 2" xfId="37813"/>
    <cellStyle name="20% - Accent4 33" xfId="15694"/>
    <cellStyle name="20% - Accent4 33 2" xfId="38469"/>
    <cellStyle name="20% - Accent4 34" xfId="16350"/>
    <cellStyle name="20% - Accent4 34 2" xfId="39125"/>
    <cellStyle name="20% - Accent4 35" xfId="17006"/>
    <cellStyle name="20% - Accent4 35 2" xfId="39781"/>
    <cellStyle name="20% - Accent4 36" xfId="17662"/>
    <cellStyle name="20% - Accent4 36 2" xfId="40437"/>
    <cellStyle name="20% - Accent4 37" xfId="18318"/>
    <cellStyle name="20% - Accent4 37 2" xfId="41093"/>
    <cellStyle name="20% - Accent4 38" xfId="18974"/>
    <cellStyle name="20% - Accent4 38 2" xfId="41749"/>
    <cellStyle name="20% - Accent4 39" xfId="19630"/>
    <cellStyle name="20% - Accent4 39 2" xfId="42405"/>
    <cellStyle name="20% - Accent4 4" xfId="93"/>
    <cellStyle name="20% - Accent4 4 10" xfId="5899"/>
    <cellStyle name="20% - Accent4 4 10 2" xfId="28674"/>
    <cellStyle name="20% - Accent4 4 11" xfId="2291"/>
    <cellStyle name="20% - Accent4 4 11 2" xfId="25066"/>
    <cellStyle name="20% - Accent4 4 12" xfId="6555"/>
    <cellStyle name="20% - Accent4 4 12 2" xfId="29330"/>
    <cellStyle name="20% - Accent4 4 13" xfId="7211"/>
    <cellStyle name="20% - Accent4 4 13 2" xfId="29986"/>
    <cellStyle name="20% - Accent4 4 14" xfId="7867"/>
    <cellStyle name="20% - Accent4 4 14 2" xfId="30642"/>
    <cellStyle name="20% - Accent4 4 15" xfId="8523"/>
    <cellStyle name="20% - Accent4 4 15 2" xfId="31298"/>
    <cellStyle name="20% - Accent4 4 16" xfId="9179"/>
    <cellStyle name="20% - Accent4 4 16 2" xfId="31954"/>
    <cellStyle name="20% - Accent4 4 17" xfId="9835"/>
    <cellStyle name="20% - Accent4 4 17 2" xfId="32610"/>
    <cellStyle name="20% - Accent4 4 18" xfId="10491"/>
    <cellStyle name="20% - Accent4 4 18 2" xfId="33266"/>
    <cellStyle name="20% - Accent4 4 19" xfId="11147"/>
    <cellStyle name="20% - Accent4 4 19 2" xfId="33922"/>
    <cellStyle name="20% - Accent4 4 2" xfId="164"/>
    <cellStyle name="20% - Accent4 4 2 10" xfId="2362"/>
    <cellStyle name="20% - Accent4 4 2 10 2" xfId="25137"/>
    <cellStyle name="20% - Accent4 4 2 11" xfId="6626"/>
    <cellStyle name="20% - Accent4 4 2 11 2" xfId="29401"/>
    <cellStyle name="20% - Accent4 4 2 12" xfId="7282"/>
    <cellStyle name="20% - Accent4 4 2 12 2" xfId="30057"/>
    <cellStyle name="20% - Accent4 4 2 13" xfId="7938"/>
    <cellStyle name="20% - Accent4 4 2 13 2" xfId="30713"/>
    <cellStyle name="20% - Accent4 4 2 14" xfId="8594"/>
    <cellStyle name="20% - Accent4 4 2 14 2" xfId="31369"/>
    <cellStyle name="20% - Accent4 4 2 15" xfId="9250"/>
    <cellStyle name="20% - Accent4 4 2 15 2" xfId="32025"/>
    <cellStyle name="20% - Accent4 4 2 16" xfId="9906"/>
    <cellStyle name="20% - Accent4 4 2 16 2" xfId="32681"/>
    <cellStyle name="20% - Accent4 4 2 17" xfId="10562"/>
    <cellStyle name="20% - Accent4 4 2 17 2" xfId="33337"/>
    <cellStyle name="20% - Accent4 4 2 18" xfId="11218"/>
    <cellStyle name="20% - Accent4 4 2 18 2" xfId="33993"/>
    <cellStyle name="20% - Accent4 4 2 19" xfId="11874"/>
    <cellStyle name="20% - Accent4 4 2 19 2" xfId="34649"/>
    <cellStyle name="20% - Accent4 4 2 2" xfId="578"/>
    <cellStyle name="20% - Accent4 4 2 2 10" xfId="6811"/>
    <cellStyle name="20% - Accent4 4 2 2 10 2" xfId="29586"/>
    <cellStyle name="20% - Accent4 4 2 2 11" xfId="7467"/>
    <cellStyle name="20% - Accent4 4 2 2 11 2" xfId="30242"/>
    <cellStyle name="20% - Accent4 4 2 2 12" xfId="8123"/>
    <cellStyle name="20% - Accent4 4 2 2 12 2" xfId="30898"/>
    <cellStyle name="20% - Accent4 4 2 2 13" xfId="8779"/>
    <cellStyle name="20% - Accent4 4 2 2 13 2" xfId="31554"/>
    <cellStyle name="20% - Accent4 4 2 2 14" xfId="9435"/>
    <cellStyle name="20% - Accent4 4 2 2 14 2" xfId="32210"/>
    <cellStyle name="20% - Accent4 4 2 2 15" xfId="10091"/>
    <cellStyle name="20% - Accent4 4 2 2 15 2" xfId="32866"/>
    <cellStyle name="20% - Accent4 4 2 2 16" xfId="10747"/>
    <cellStyle name="20% - Accent4 4 2 2 16 2" xfId="33522"/>
    <cellStyle name="20% - Accent4 4 2 2 17" xfId="11403"/>
    <cellStyle name="20% - Accent4 4 2 2 17 2" xfId="34178"/>
    <cellStyle name="20% - Accent4 4 2 2 18" xfId="12059"/>
    <cellStyle name="20% - Accent4 4 2 2 18 2" xfId="34834"/>
    <cellStyle name="20% - Accent4 4 2 2 19" xfId="12715"/>
    <cellStyle name="20% - Accent4 4 2 2 19 2" xfId="35490"/>
    <cellStyle name="20% - Accent4 4 2 2 2" xfId="907"/>
    <cellStyle name="20% - Accent4 4 2 2 2 10" xfId="8451"/>
    <cellStyle name="20% - Accent4 4 2 2 2 10 2" xfId="31226"/>
    <cellStyle name="20% - Accent4 4 2 2 2 11" xfId="9107"/>
    <cellStyle name="20% - Accent4 4 2 2 2 11 2" xfId="31882"/>
    <cellStyle name="20% - Accent4 4 2 2 2 12" xfId="9763"/>
    <cellStyle name="20% - Accent4 4 2 2 2 12 2" xfId="32538"/>
    <cellStyle name="20% - Accent4 4 2 2 2 13" xfId="10419"/>
    <cellStyle name="20% - Accent4 4 2 2 2 13 2" xfId="33194"/>
    <cellStyle name="20% - Accent4 4 2 2 2 14" xfId="11075"/>
    <cellStyle name="20% - Accent4 4 2 2 2 14 2" xfId="33850"/>
    <cellStyle name="20% - Accent4 4 2 2 2 15" xfId="11731"/>
    <cellStyle name="20% - Accent4 4 2 2 2 15 2" xfId="34506"/>
    <cellStyle name="20% - Accent4 4 2 2 2 16" xfId="12387"/>
    <cellStyle name="20% - Accent4 4 2 2 2 16 2" xfId="35162"/>
    <cellStyle name="20% - Accent4 4 2 2 2 17" xfId="13043"/>
    <cellStyle name="20% - Accent4 4 2 2 2 17 2" xfId="35818"/>
    <cellStyle name="20% - Accent4 4 2 2 2 18" xfId="13699"/>
    <cellStyle name="20% - Accent4 4 2 2 2 18 2" xfId="36474"/>
    <cellStyle name="20% - Accent4 4 2 2 2 19" xfId="14355"/>
    <cellStyle name="20% - Accent4 4 2 2 2 19 2" xfId="37130"/>
    <cellStyle name="20% - Accent4 4 2 2 2 2" xfId="1563"/>
    <cellStyle name="20% - Accent4 4 2 2 2 2 2" xfId="3859"/>
    <cellStyle name="20% - Accent4 4 2 2 2 2 2 2" xfId="26634"/>
    <cellStyle name="20% - Accent4 4 2 2 2 2 3" xfId="24338"/>
    <cellStyle name="20% - Accent4 4 2 2 2 20" xfId="15011"/>
    <cellStyle name="20% - Accent4 4 2 2 2 20 2" xfId="37786"/>
    <cellStyle name="20% - Accent4 4 2 2 2 21" xfId="15667"/>
    <cellStyle name="20% - Accent4 4 2 2 2 21 2" xfId="38442"/>
    <cellStyle name="20% - Accent4 4 2 2 2 22" xfId="16323"/>
    <cellStyle name="20% - Accent4 4 2 2 2 22 2" xfId="39098"/>
    <cellStyle name="20% - Accent4 4 2 2 2 23" xfId="16979"/>
    <cellStyle name="20% - Accent4 4 2 2 2 23 2" xfId="39754"/>
    <cellStyle name="20% - Accent4 4 2 2 2 24" xfId="17635"/>
    <cellStyle name="20% - Accent4 4 2 2 2 24 2" xfId="40410"/>
    <cellStyle name="20% - Accent4 4 2 2 2 25" xfId="18291"/>
    <cellStyle name="20% - Accent4 4 2 2 2 25 2" xfId="41066"/>
    <cellStyle name="20% - Accent4 4 2 2 2 26" xfId="18947"/>
    <cellStyle name="20% - Accent4 4 2 2 2 26 2" xfId="41722"/>
    <cellStyle name="20% - Accent4 4 2 2 2 27" xfId="19603"/>
    <cellStyle name="20% - Accent4 4 2 2 2 27 2" xfId="42378"/>
    <cellStyle name="20% - Accent4 4 2 2 2 28" xfId="20259"/>
    <cellStyle name="20% - Accent4 4 2 2 2 28 2" xfId="43034"/>
    <cellStyle name="20% - Accent4 4 2 2 2 29" xfId="20915"/>
    <cellStyle name="20% - Accent4 4 2 2 2 29 2" xfId="43690"/>
    <cellStyle name="20% - Accent4 4 2 2 2 3" xfId="2219"/>
    <cellStyle name="20% - Accent4 4 2 2 2 3 2" xfId="4515"/>
    <cellStyle name="20% - Accent4 4 2 2 2 3 2 2" xfId="27290"/>
    <cellStyle name="20% - Accent4 4 2 2 2 3 3" xfId="24994"/>
    <cellStyle name="20% - Accent4 4 2 2 2 30" xfId="21571"/>
    <cellStyle name="20% - Accent4 4 2 2 2 30 2" xfId="44346"/>
    <cellStyle name="20% - Accent4 4 2 2 2 31" xfId="22227"/>
    <cellStyle name="20% - Accent4 4 2 2 2 31 2" xfId="45002"/>
    <cellStyle name="20% - Accent4 4 2 2 2 32" xfId="22883"/>
    <cellStyle name="20% - Accent4 4 2 2 2 32 2" xfId="45658"/>
    <cellStyle name="20% - Accent4 4 2 2 2 33" xfId="23682"/>
    <cellStyle name="20% - Accent4 4 2 2 2 4" xfId="5171"/>
    <cellStyle name="20% - Accent4 4 2 2 2 4 2" xfId="27946"/>
    <cellStyle name="20% - Accent4 4 2 2 2 5" xfId="5827"/>
    <cellStyle name="20% - Accent4 4 2 2 2 5 2" xfId="28602"/>
    <cellStyle name="20% - Accent4 4 2 2 2 6" xfId="6483"/>
    <cellStyle name="20% - Accent4 4 2 2 2 6 2" xfId="29258"/>
    <cellStyle name="20% - Accent4 4 2 2 2 7" xfId="3203"/>
    <cellStyle name="20% - Accent4 4 2 2 2 7 2" xfId="25978"/>
    <cellStyle name="20% - Accent4 4 2 2 2 8" xfId="7139"/>
    <cellStyle name="20% - Accent4 4 2 2 2 8 2" xfId="29914"/>
    <cellStyle name="20% - Accent4 4 2 2 2 9" xfId="7795"/>
    <cellStyle name="20% - Accent4 4 2 2 2 9 2" xfId="30570"/>
    <cellStyle name="20% - Accent4 4 2 2 20" xfId="13371"/>
    <cellStyle name="20% - Accent4 4 2 2 20 2" xfId="36146"/>
    <cellStyle name="20% - Accent4 4 2 2 21" xfId="14027"/>
    <cellStyle name="20% - Accent4 4 2 2 21 2" xfId="36802"/>
    <cellStyle name="20% - Accent4 4 2 2 22" xfId="14683"/>
    <cellStyle name="20% - Accent4 4 2 2 22 2" xfId="37458"/>
    <cellStyle name="20% - Accent4 4 2 2 23" xfId="15339"/>
    <cellStyle name="20% - Accent4 4 2 2 23 2" xfId="38114"/>
    <cellStyle name="20% - Accent4 4 2 2 24" xfId="15995"/>
    <cellStyle name="20% - Accent4 4 2 2 24 2" xfId="38770"/>
    <cellStyle name="20% - Accent4 4 2 2 25" xfId="16651"/>
    <cellStyle name="20% - Accent4 4 2 2 25 2" xfId="39426"/>
    <cellStyle name="20% - Accent4 4 2 2 26" xfId="17307"/>
    <cellStyle name="20% - Accent4 4 2 2 26 2" xfId="40082"/>
    <cellStyle name="20% - Accent4 4 2 2 27" xfId="17963"/>
    <cellStyle name="20% - Accent4 4 2 2 27 2" xfId="40738"/>
    <cellStyle name="20% - Accent4 4 2 2 28" xfId="18619"/>
    <cellStyle name="20% - Accent4 4 2 2 28 2" xfId="41394"/>
    <cellStyle name="20% - Accent4 4 2 2 29" xfId="19275"/>
    <cellStyle name="20% - Accent4 4 2 2 29 2" xfId="42050"/>
    <cellStyle name="20% - Accent4 4 2 2 3" xfId="1235"/>
    <cellStyle name="20% - Accent4 4 2 2 3 2" xfId="2875"/>
    <cellStyle name="20% - Accent4 4 2 2 3 2 2" xfId="25650"/>
    <cellStyle name="20% - Accent4 4 2 2 3 3" xfId="24010"/>
    <cellStyle name="20% - Accent4 4 2 2 30" xfId="19931"/>
    <cellStyle name="20% - Accent4 4 2 2 30 2" xfId="42706"/>
    <cellStyle name="20% - Accent4 4 2 2 31" xfId="20587"/>
    <cellStyle name="20% - Accent4 4 2 2 31 2" xfId="43362"/>
    <cellStyle name="20% - Accent4 4 2 2 32" xfId="21243"/>
    <cellStyle name="20% - Accent4 4 2 2 32 2" xfId="44018"/>
    <cellStyle name="20% - Accent4 4 2 2 33" xfId="21899"/>
    <cellStyle name="20% - Accent4 4 2 2 33 2" xfId="44674"/>
    <cellStyle name="20% - Accent4 4 2 2 34" xfId="22555"/>
    <cellStyle name="20% - Accent4 4 2 2 34 2" xfId="45330"/>
    <cellStyle name="20% - Accent4 4 2 2 35" xfId="23354"/>
    <cellStyle name="20% - Accent4 4 2 2 4" xfId="1891"/>
    <cellStyle name="20% - Accent4 4 2 2 4 2" xfId="3531"/>
    <cellStyle name="20% - Accent4 4 2 2 4 2 2" xfId="26306"/>
    <cellStyle name="20% - Accent4 4 2 2 4 3" xfId="24666"/>
    <cellStyle name="20% - Accent4 4 2 2 5" xfId="4187"/>
    <cellStyle name="20% - Accent4 4 2 2 5 2" xfId="26962"/>
    <cellStyle name="20% - Accent4 4 2 2 6" xfId="4843"/>
    <cellStyle name="20% - Accent4 4 2 2 6 2" xfId="27618"/>
    <cellStyle name="20% - Accent4 4 2 2 7" xfId="5499"/>
    <cellStyle name="20% - Accent4 4 2 2 7 2" xfId="28274"/>
    <cellStyle name="20% - Accent4 4 2 2 8" xfId="6155"/>
    <cellStyle name="20% - Accent4 4 2 2 8 2" xfId="28930"/>
    <cellStyle name="20% - Accent4 4 2 2 9" xfId="2547"/>
    <cellStyle name="20% - Accent4 4 2 2 9 2" xfId="25322"/>
    <cellStyle name="20% - Accent4 4 2 20" xfId="12530"/>
    <cellStyle name="20% - Accent4 4 2 20 2" xfId="35305"/>
    <cellStyle name="20% - Accent4 4 2 21" xfId="13186"/>
    <cellStyle name="20% - Accent4 4 2 21 2" xfId="35961"/>
    <cellStyle name="20% - Accent4 4 2 22" xfId="13842"/>
    <cellStyle name="20% - Accent4 4 2 22 2" xfId="36617"/>
    <cellStyle name="20% - Accent4 4 2 23" xfId="14498"/>
    <cellStyle name="20% - Accent4 4 2 23 2" xfId="37273"/>
    <cellStyle name="20% - Accent4 4 2 24" xfId="15154"/>
    <cellStyle name="20% - Accent4 4 2 24 2" xfId="37929"/>
    <cellStyle name="20% - Accent4 4 2 25" xfId="15810"/>
    <cellStyle name="20% - Accent4 4 2 25 2" xfId="38585"/>
    <cellStyle name="20% - Accent4 4 2 26" xfId="16466"/>
    <cellStyle name="20% - Accent4 4 2 26 2" xfId="39241"/>
    <cellStyle name="20% - Accent4 4 2 27" xfId="17122"/>
    <cellStyle name="20% - Accent4 4 2 27 2" xfId="39897"/>
    <cellStyle name="20% - Accent4 4 2 28" xfId="17778"/>
    <cellStyle name="20% - Accent4 4 2 28 2" xfId="40553"/>
    <cellStyle name="20% - Accent4 4 2 29" xfId="18434"/>
    <cellStyle name="20% - Accent4 4 2 29 2" xfId="41209"/>
    <cellStyle name="20% - Accent4 4 2 3" xfId="722"/>
    <cellStyle name="20% - Accent4 4 2 3 10" xfId="8266"/>
    <cellStyle name="20% - Accent4 4 2 3 10 2" xfId="31041"/>
    <cellStyle name="20% - Accent4 4 2 3 11" xfId="8922"/>
    <cellStyle name="20% - Accent4 4 2 3 11 2" xfId="31697"/>
    <cellStyle name="20% - Accent4 4 2 3 12" xfId="9578"/>
    <cellStyle name="20% - Accent4 4 2 3 12 2" xfId="32353"/>
    <cellStyle name="20% - Accent4 4 2 3 13" xfId="10234"/>
    <cellStyle name="20% - Accent4 4 2 3 13 2" xfId="33009"/>
    <cellStyle name="20% - Accent4 4 2 3 14" xfId="10890"/>
    <cellStyle name="20% - Accent4 4 2 3 14 2" xfId="33665"/>
    <cellStyle name="20% - Accent4 4 2 3 15" xfId="11546"/>
    <cellStyle name="20% - Accent4 4 2 3 15 2" xfId="34321"/>
    <cellStyle name="20% - Accent4 4 2 3 16" xfId="12202"/>
    <cellStyle name="20% - Accent4 4 2 3 16 2" xfId="34977"/>
    <cellStyle name="20% - Accent4 4 2 3 17" xfId="12858"/>
    <cellStyle name="20% - Accent4 4 2 3 17 2" xfId="35633"/>
    <cellStyle name="20% - Accent4 4 2 3 18" xfId="13514"/>
    <cellStyle name="20% - Accent4 4 2 3 18 2" xfId="36289"/>
    <cellStyle name="20% - Accent4 4 2 3 19" xfId="14170"/>
    <cellStyle name="20% - Accent4 4 2 3 19 2" xfId="36945"/>
    <cellStyle name="20% - Accent4 4 2 3 2" xfId="1378"/>
    <cellStyle name="20% - Accent4 4 2 3 2 2" xfId="3674"/>
    <cellStyle name="20% - Accent4 4 2 3 2 2 2" xfId="26449"/>
    <cellStyle name="20% - Accent4 4 2 3 2 3" xfId="24153"/>
    <cellStyle name="20% - Accent4 4 2 3 20" xfId="14826"/>
    <cellStyle name="20% - Accent4 4 2 3 20 2" xfId="37601"/>
    <cellStyle name="20% - Accent4 4 2 3 21" xfId="15482"/>
    <cellStyle name="20% - Accent4 4 2 3 21 2" xfId="38257"/>
    <cellStyle name="20% - Accent4 4 2 3 22" xfId="16138"/>
    <cellStyle name="20% - Accent4 4 2 3 22 2" xfId="38913"/>
    <cellStyle name="20% - Accent4 4 2 3 23" xfId="16794"/>
    <cellStyle name="20% - Accent4 4 2 3 23 2" xfId="39569"/>
    <cellStyle name="20% - Accent4 4 2 3 24" xfId="17450"/>
    <cellStyle name="20% - Accent4 4 2 3 24 2" xfId="40225"/>
    <cellStyle name="20% - Accent4 4 2 3 25" xfId="18106"/>
    <cellStyle name="20% - Accent4 4 2 3 25 2" xfId="40881"/>
    <cellStyle name="20% - Accent4 4 2 3 26" xfId="18762"/>
    <cellStyle name="20% - Accent4 4 2 3 26 2" xfId="41537"/>
    <cellStyle name="20% - Accent4 4 2 3 27" xfId="19418"/>
    <cellStyle name="20% - Accent4 4 2 3 27 2" xfId="42193"/>
    <cellStyle name="20% - Accent4 4 2 3 28" xfId="20074"/>
    <cellStyle name="20% - Accent4 4 2 3 28 2" xfId="42849"/>
    <cellStyle name="20% - Accent4 4 2 3 29" xfId="20730"/>
    <cellStyle name="20% - Accent4 4 2 3 29 2" xfId="43505"/>
    <cellStyle name="20% - Accent4 4 2 3 3" xfId="2034"/>
    <cellStyle name="20% - Accent4 4 2 3 3 2" xfId="4330"/>
    <cellStyle name="20% - Accent4 4 2 3 3 2 2" xfId="27105"/>
    <cellStyle name="20% - Accent4 4 2 3 3 3" xfId="24809"/>
    <cellStyle name="20% - Accent4 4 2 3 30" xfId="21386"/>
    <cellStyle name="20% - Accent4 4 2 3 30 2" xfId="44161"/>
    <cellStyle name="20% - Accent4 4 2 3 31" xfId="22042"/>
    <cellStyle name="20% - Accent4 4 2 3 31 2" xfId="44817"/>
    <cellStyle name="20% - Accent4 4 2 3 32" xfId="22698"/>
    <cellStyle name="20% - Accent4 4 2 3 32 2" xfId="45473"/>
    <cellStyle name="20% - Accent4 4 2 3 33" xfId="23497"/>
    <cellStyle name="20% - Accent4 4 2 3 4" xfId="4986"/>
    <cellStyle name="20% - Accent4 4 2 3 4 2" xfId="27761"/>
    <cellStyle name="20% - Accent4 4 2 3 5" xfId="5642"/>
    <cellStyle name="20% - Accent4 4 2 3 5 2" xfId="28417"/>
    <cellStyle name="20% - Accent4 4 2 3 6" xfId="6298"/>
    <cellStyle name="20% - Accent4 4 2 3 6 2" xfId="29073"/>
    <cellStyle name="20% - Accent4 4 2 3 7" xfId="3018"/>
    <cellStyle name="20% - Accent4 4 2 3 7 2" xfId="25793"/>
    <cellStyle name="20% - Accent4 4 2 3 8" xfId="6954"/>
    <cellStyle name="20% - Accent4 4 2 3 8 2" xfId="29729"/>
    <cellStyle name="20% - Accent4 4 2 3 9" xfId="7610"/>
    <cellStyle name="20% - Accent4 4 2 3 9 2" xfId="30385"/>
    <cellStyle name="20% - Accent4 4 2 30" xfId="19090"/>
    <cellStyle name="20% - Accent4 4 2 30 2" xfId="41865"/>
    <cellStyle name="20% - Accent4 4 2 31" xfId="19746"/>
    <cellStyle name="20% - Accent4 4 2 31 2" xfId="42521"/>
    <cellStyle name="20% - Accent4 4 2 32" xfId="20402"/>
    <cellStyle name="20% - Accent4 4 2 32 2" xfId="43177"/>
    <cellStyle name="20% - Accent4 4 2 33" xfId="21058"/>
    <cellStyle name="20% - Accent4 4 2 33 2" xfId="43833"/>
    <cellStyle name="20% - Accent4 4 2 34" xfId="21714"/>
    <cellStyle name="20% - Accent4 4 2 34 2" xfId="44489"/>
    <cellStyle name="20% - Accent4 4 2 35" xfId="22370"/>
    <cellStyle name="20% - Accent4 4 2 35 2" xfId="45145"/>
    <cellStyle name="20% - Accent4 4 2 36" xfId="23026"/>
    <cellStyle name="20% - Accent4 4 2 4" xfId="395"/>
    <cellStyle name="20% - Accent4 4 2 4 2" xfId="2690"/>
    <cellStyle name="20% - Accent4 4 2 4 2 2" xfId="25465"/>
    <cellStyle name="20% - Accent4 4 2 4 3" xfId="23169"/>
    <cellStyle name="20% - Accent4 4 2 5" xfId="1050"/>
    <cellStyle name="20% - Accent4 4 2 5 2" xfId="3346"/>
    <cellStyle name="20% - Accent4 4 2 5 2 2" xfId="26121"/>
    <cellStyle name="20% - Accent4 4 2 5 3" xfId="23825"/>
    <cellStyle name="20% - Accent4 4 2 6" xfId="1706"/>
    <cellStyle name="20% - Accent4 4 2 6 2" xfId="4002"/>
    <cellStyle name="20% - Accent4 4 2 6 2 2" xfId="26777"/>
    <cellStyle name="20% - Accent4 4 2 6 3" xfId="24481"/>
    <cellStyle name="20% - Accent4 4 2 7" xfId="4658"/>
    <cellStyle name="20% - Accent4 4 2 7 2" xfId="27433"/>
    <cellStyle name="20% - Accent4 4 2 8" xfId="5314"/>
    <cellStyle name="20% - Accent4 4 2 8 2" xfId="28089"/>
    <cellStyle name="20% - Accent4 4 2 9" xfId="5970"/>
    <cellStyle name="20% - Accent4 4 2 9 2" xfId="28745"/>
    <cellStyle name="20% - Accent4 4 20" xfId="11803"/>
    <cellStyle name="20% - Accent4 4 20 2" xfId="34578"/>
    <cellStyle name="20% - Accent4 4 21" xfId="12459"/>
    <cellStyle name="20% - Accent4 4 21 2" xfId="35234"/>
    <cellStyle name="20% - Accent4 4 22" xfId="13115"/>
    <cellStyle name="20% - Accent4 4 22 2" xfId="35890"/>
    <cellStyle name="20% - Accent4 4 23" xfId="13771"/>
    <cellStyle name="20% - Accent4 4 23 2" xfId="36546"/>
    <cellStyle name="20% - Accent4 4 24" xfId="14427"/>
    <cellStyle name="20% - Accent4 4 24 2" xfId="37202"/>
    <cellStyle name="20% - Accent4 4 25" xfId="15083"/>
    <cellStyle name="20% - Accent4 4 25 2" xfId="37858"/>
    <cellStyle name="20% - Accent4 4 26" xfId="15739"/>
    <cellStyle name="20% - Accent4 4 26 2" xfId="38514"/>
    <cellStyle name="20% - Accent4 4 27" xfId="16395"/>
    <cellStyle name="20% - Accent4 4 27 2" xfId="39170"/>
    <cellStyle name="20% - Accent4 4 28" xfId="17051"/>
    <cellStyle name="20% - Accent4 4 28 2" xfId="39826"/>
    <cellStyle name="20% - Accent4 4 29" xfId="17707"/>
    <cellStyle name="20% - Accent4 4 29 2" xfId="40482"/>
    <cellStyle name="20% - Accent4 4 3" xfId="508"/>
    <cellStyle name="20% - Accent4 4 3 10" xfId="6740"/>
    <cellStyle name="20% - Accent4 4 3 10 2" xfId="29515"/>
    <cellStyle name="20% - Accent4 4 3 11" xfId="7396"/>
    <cellStyle name="20% - Accent4 4 3 11 2" xfId="30171"/>
    <cellStyle name="20% - Accent4 4 3 12" xfId="8052"/>
    <cellStyle name="20% - Accent4 4 3 12 2" xfId="30827"/>
    <cellStyle name="20% - Accent4 4 3 13" xfId="8708"/>
    <cellStyle name="20% - Accent4 4 3 13 2" xfId="31483"/>
    <cellStyle name="20% - Accent4 4 3 14" xfId="9364"/>
    <cellStyle name="20% - Accent4 4 3 14 2" xfId="32139"/>
    <cellStyle name="20% - Accent4 4 3 15" xfId="10020"/>
    <cellStyle name="20% - Accent4 4 3 15 2" xfId="32795"/>
    <cellStyle name="20% - Accent4 4 3 16" xfId="10676"/>
    <cellStyle name="20% - Accent4 4 3 16 2" xfId="33451"/>
    <cellStyle name="20% - Accent4 4 3 17" xfId="11332"/>
    <cellStyle name="20% - Accent4 4 3 17 2" xfId="34107"/>
    <cellStyle name="20% - Accent4 4 3 18" xfId="11988"/>
    <cellStyle name="20% - Accent4 4 3 18 2" xfId="34763"/>
    <cellStyle name="20% - Accent4 4 3 19" xfId="12644"/>
    <cellStyle name="20% - Accent4 4 3 19 2" xfId="35419"/>
    <cellStyle name="20% - Accent4 4 3 2" xfId="836"/>
    <cellStyle name="20% - Accent4 4 3 2 10" xfId="8380"/>
    <cellStyle name="20% - Accent4 4 3 2 10 2" xfId="31155"/>
    <cellStyle name="20% - Accent4 4 3 2 11" xfId="9036"/>
    <cellStyle name="20% - Accent4 4 3 2 11 2" xfId="31811"/>
    <cellStyle name="20% - Accent4 4 3 2 12" xfId="9692"/>
    <cellStyle name="20% - Accent4 4 3 2 12 2" xfId="32467"/>
    <cellStyle name="20% - Accent4 4 3 2 13" xfId="10348"/>
    <cellStyle name="20% - Accent4 4 3 2 13 2" xfId="33123"/>
    <cellStyle name="20% - Accent4 4 3 2 14" xfId="11004"/>
    <cellStyle name="20% - Accent4 4 3 2 14 2" xfId="33779"/>
    <cellStyle name="20% - Accent4 4 3 2 15" xfId="11660"/>
    <cellStyle name="20% - Accent4 4 3 2 15 2" xfId="34435"/>
    <cellStyle name="20% - Accent4 4 3 2 16" xfId="12316"/>
    <cellStyle name="20% - Accent4 4 3 2 16 2" xfId="35091"/>
    <cellStyle name="20% - Accent4 4 3 2 17" xfId="12972"/>
    <cellStyle name="20% - Accent4 4 3 2 17 2" xfId="35747"/>
    <cellStyle name="20% - Accent4 4 3 2 18" xfId="13628"/>
    <cellStyle name="20% - Accent4 4 3 2 18 2" xfId="36403"/>
    <cellStyle name="20% - Accent4 4 3 2 19" xfId="14284"/>
    <cellStyle name="20% - Accent4 4 3 2 19 2" xfId="37059"/>
    <cellStyle name="20% - Accent4 4 3 2 2" xfId="1492"/>
    <cellStyle name="20% - Accent4 4 3 2 2 2" xfId="3788"/>
    <cellStyle name="20% - Accent4 4 3 2 2 2 2" xfId="26563"/>
    <cellStyle name="20% - Accent4 4 3 2 2 3" xfId="24267"/>
    <cellStyle name="20% - Accent4 4 3 2 20" xfId="14940"/>
    <cellStyle name="20% - Accent4 4 3 2 20 2" xfId="37715"/>
    <cellStyle name="20% - Accent4 4 3 2 21" xfId="15596"/>
    <cellStyle name="20% - Accent4 4 3 2 21 2" xfId="38371"/>
    <cellStyle name="20% - Accent4 4 3 2 22" xfId="16252"/>
    <cellStyle name="20% - Accent4 4 3 2 22 2" xfId="39027"/>
    <cellStyle name="20% - Accent4 4 3 2 23" xfId="16908"/>
    <cellStyle name="20% - Accent4 4 3 2 23 2" xfId="39683"/>
    <cellStyle name="20% - Accent4 4 3 2 24" xfId="17564"/>
    <cellStyle name="20% - Accent4 4 3 2 24 2" xfId="40339"/>
    <cellStyle name="20% - Accent4 4 3 2 25" xfId="18220"/>
    <cellStyle name="20% - Accent4 4 3 2 25 2" xfId="40995"/>
    <cellStyle name="20% - Accent4 4 3 2 26" xfId="18876"/>
    <cellStyle name="20% - Accent4 4 3 2 26 2" xfId="41651"/>
    <cellStyle name="20% - Accent4 4 3 2 27" xfId="19532"/>
    <cellStyle name="20% - Accent4 4 3 2 27 2" xfId="42307"/>
    <cellStyle name="20% - Accent4 4 3 2 28" xfId="20188"/>
    <cellStyle name="20% - Accent4 4 3 2 28 2" xfId="42963"/>
    <cellStyle name="20% - Accent4 4 3 2 29" xfId="20844"/>
    <cellStyle name="20% - Accent4 4 3 2 29 2" xfId="43619"/>
    <cellStyle name="20% - Accent4 4 3 2 3" xfId="2148"/>
    <cellStyle name="20% - Accent4 4 3 2 3 2" xfId="4444"/>
    <cellStyle name="20% - Accent4 4 3 2 3 2 2" xfId="27219"/>
    <cellStyle name="20% - Accent4 4 3 2 3 3" xfId="24923"/>
    <cellStyle name="20% - Accent4 4 3 2 30" xfId="21500"/>
    <cellStyle name="20% - Accent4 4 3 2 30 2" xfId="44275"/>
    <cellStyle name="20% - Accent4 4 3 2 31" xfId="22156"/>
    <cellStyle name="20% - Accent4 4 3 2 31 2" xfId="44931"/>
    <cellStyle name="20% - Accent4 4 3 2 32" xfId="22812"/>
    <cellStyle name="20% - Accent4 4 3 2 32 2" xfId="45587"/>
    <cellStyle name="20% - Accent4 4 3 2 33" xfId="23611"/>
    <cellStyle name="20% - Accent4 4 3 2 4" xfId="5100"/>
    <cellStyle name="20% - Accent4 4 3 2 4 2" xfId="27875"/>
    <cellStyle name="20% - Accent4 4 3 2 5" xfId="5756"/>
    <cellStyle name="20% - Accent4 4 3 2 5 2" xfId="28531"/>
    <cellStyle name="20% - Accent4 4 3 2 6" xfId="6412"/>
    <cellStyle name="20% - Accent4 4 3 2 6 2" xfId="29187"/>
    <cellStyle name="20% - Accent4 4 3 2 7" xfId="3132"/>
    <cellStyle name="20% - Accent4 4 3 2 7 2" xfId="25907"/>
    <cellStyle name="20% - Accent4 4 3 2 8" xfId="7068"/>
    <cellStyle name="20% - Accent4 4 3 2 8 2" xfId="29843"/>
    <cellStyle name="20% - Accent4 4 3 2 9" xfId="7724"/>
    <cellStyle name="20% - Accent4 4 3 2 9 2" xfId="30499"/>
    <cellStyle name="20% - Accent4 4 3 20" xfId="13300"/>
    <cellStyle name="20% - Accent4 4 3 20 2" xfId="36075"/>
    <cellStyle name="20% - Accent4 4 3 21" xfId="13956"/>
    <cellStyle name="20% - Accent4 4 3 21 2" xfId="36731"/>
    <cellStyle name="20% - Accent4 4 3 22" xfId="14612"/>
    <cellStyle name="20% - Accent4 4 3 22 2" xfId="37387"/>
    <cellStyle name="20% - Accent4 4 3 23" xfId="15268"/>
    <cellStyle name="20% - Accent4 4 3 23 2" xfId="38043"/>
    <cellStyle name="20% - Accent4 4 3 24" xfId="15924"/>
    <cellStyle name="20% - Accent4 4 3 24 2" xfId="38699"/>
    <cellStyle name="20% - Accent4 4 3 25" xfId="16580"/>
    <cellStyle name="20% - Accent4 4 3 25 2" xfId="39355"/>
    <cellStyle name="20% - Accent4 4 3 26" xfId="17236"/>
    <cellStyle name="20% - Accent4 4 3 26 2" xfId="40011"/>
    <cellStyle name="20% - Accent4 4 3 27" xfId="17892"/>
    <cellStyle name="20% - Accent4 4 3 27 2" xfId="40667"/>
    <cellStyle name="20% - Accent4 4 3 28" xfId="18548"/>
    <cellStyle name="20% - Accent4 4 3 28 2" xfId="41323"/>
    <cellStyle name="20% - Accent4 4 3 29" xfId="19204"/>
    <cellStyle name="20% - Accent4 4 3 29 2" xfId="41979"/>
    <cellStyle name="20% - Accent4 4 3 3" xfId="1164"/>
    <cellStyle name="20% - Accent4 4 3 3 2" xfId="2804"/>
    <cellStyle name="20% - Accent4 4 3 3 2 2" xfId="25579"/>
    <cellStyle name="20% - Accent4 4 3 3 3" xfId="23939"/>
    <cellStyle name="20% - Accent4 4 3 30" xfId="19860"/>
    <cellStyle name="20% - Accent4 4 3 30 2" xfId="42635"/>
    <cellStyle name="20% - Accent4 4 3 31" xfId="20516"/>
    <cellStyle name="20% - Accent4 4 3 31 2" xfId="43291"/>
    <cellStyle name="20% - Accent4 4 3 32" xfId="21172"/>
    <cellStyle name="20% - Accent4 4 3 32 2" xfId="43947"/>
    <cellStyle name="20% - Accent4 4 3 33" xfId="21828"/>
    <cellStyle name="20% - Accent4 4 3 33 2" xfId="44603"/>
    <cellStyle name="20% - Accent4 4 3 34" xfId="22484"/>
    <cellStyle name="20% - Accent4 4 3 34 2" xfId="45259"/>
    <cellStyle name="20% - Accent4 4 3 35" xfId="23283"/>
    <cellStyle name="20% - Accent4 4 3 4" xfId="1820"/>
    <cellStyle name="20% - Accent4 4 3 4 2" xfId="3460"/>
    <cellStyle name="20% - Accent4 4 3 4 2 2" xfId="26235"/>
    <cellStyle name="20% - Accent4 4 3 4 3" xfId="24595"/>
    <cellStyle name="20% - Accent4 4 3 5" xfId="4116"/>
    <cellStyle name="20% - Accent4 4 3 5 2" xfId="26891"/>
    <cellStyle name="20% - Accent4 4 3 6" xfId="4772"/>
    <cellStyle name="20% - Accent4 4 3 6 2" xfId="27547"/>
    <cellStyle name="20% - Accent4 4 3 7" xfId="5428"/>
    <cellStyle name="20% - Accent4 4 3 7 2" xfId="28203"/>
    <cellStyle name="20% - Accent4 4 3 8" xfId="6084"/>
    <cellStyle name="20% - Accent4 4 3 8 2" xfId="28859"/>
    <cellStyle name="20% - Accent4 4 3 9" xfId="2476"/>
    <cellStyle name="20% - Accent4 4 3 9 2" xfId="25251"/>
    <cellStyle name="20% - Accent4 4 30" xfId="18363"/>
    <cellStyle name="20% - Accent4 4 30 2" xfId="41138"/>
    <cellStyle name="20% - Accent4 4 31" xfId="19019"/>
    <cellStyle name="20% - Accent4 4 31 2" xfId="41794"/>
    <cellStyle name="20% - Accent4 4 32" xfId="19675"/>
    <cellStyle name="20% - Accent4 4 32 2" xfId="42450"/>
    <cellStyle name="20% - Accent4 4 33" xfId="20331"/>
    <cellStyle name="20% - Accent4 4 33 2" xfId="43106"/>
    <cellStyle name="20% - Accent4 4 34" xfId="20987"/>
    <cellStyle name="20% - Accent4 4 34 2" xfId="43762"/>
    <cellStyle name="20% - Accent4 4 35" xfId="21643"/>
    <cellStyle name="20% - Accent4 4 35 2" xfId="44418"/>
    <cellStyle name="20% - Accent4 4 36" xfId="22299"/>
    <cellStyle name="20% - Accent4 4 36 2" xfId="45074"/>
    <cellStyle name="20% - Accent4 4 37" xfId="238"/>
    <cellStyle name="20% - Accent4 4 38" xfId="22955"/>
    <cellStyle name="20% - Accent4 4 4" xfId="651"/>
    <cellStyle name="20% - Accent4 4 4 10" xfId="8195"/>
    <cellStyle name="20% - Accent4 4 4 10 2" xfId="30970"/>
    <cellStyle name="20% - Accent4 4 4 11" xfId="8851"/>
    <cellStyle name="20% - Accent4 4 4 11 2" xfId="31626"/>
    <cellStyle name="20% - Accent4 4 4 12" xfId="9507"/>
    <cellStyle name="20% - Accent4 4 4 12 2" xfId="32282"/>
    <cellStyle name="20% - Accent4 4 4 13" xfId="10163"/>
    <cellStyle name="20% - Accent4 4 4 13 2" xfId="32938"/>
    <cellStyle name="20% - Accent4 4 4 14" xfId="10819"/>
    <cellStyle name="20% - Accent4 4 4 14 2" xfId="33594"/>
    <cellStyle name="20% - Accent4 4 4 15" xfId="11475"/>
    <cellStyle name="20% - Accent4 4 4 15 2" xfId="34250"/>
    <cellStyle name="20% - Accent4 4 4 16" xfId="12131"/>
    <cellStyle name="20% - Accent4 4 4 16 2" xfId="34906"/>
    <cellStyle name="20% - Accent4 4 4 17" xfId="12787"/>
    <cellStyle name="20% - Accent4 4 4 17 2" xfId="35562"/>
    <cellStyle name="20% - Accent4 4 4 18" xfId="13443"/>
    <cellStyle name="20% - Accent4 4 4 18 2" xfId="36218"/>
    <cellStyle name="20% - Accent4 4 4 19" xfId="14099"/>
    <cellStyle name="20% - Accent4 4 4 19 2" xfId="36874"/>
    <cellStyle name="20% - Accent4 4 4 2" xfId="1307"/>
    <cellStyle name="20% - Accent4 4 4 2 2" xfId="3603"/>
    <cellStyle name="20% - Accent4 4 4 2 2 2" xfId="26378"/>
    <cellStyle name="20% - Accent4 4 4 2 3" xfId="24082"/>
    <cellStyle name="20% - Accent4 4 4 20" xfId="14755"/>
    <cellStyle name="20% - Accent4 4 4 20 2" xfId="37530"/>
    <cellStyle name="20% - Accent4 4 4 21" xfId="15411"/>
    <cellStyle name="20% - Accent4 4 4 21 2" xfId="38186"/>
    <cellStyle name="20% - Accent4 4 4 22" xfId="16067"/>
    <cellStyle name="20% - Accent4 4 4 22 2" xfId="38842"/>
    <cellStyle name="20% - Accent4 4 4 23" xfId="16723"/>
    <cellStyle name="20% - Accent4 4 4 23 2" xfId="39498"/>
    <cellStyle name="20% - Accent4 4 4 24" xfId="17379"/>
    <cellStyle name="20% - Accent4 4 4 24 2" xfId="40154"/>
    <cellStyle name="20% - Accent4 4 4 25" xfId="18035"/>
    <cellStyle name="20% - Accent4 4 4 25 2" xfId="40810"/>
    <cellStyle name="20% - Accent4 4 4 26" xfId="18691"/>
    <cellStyle name="20% - Accent4 4 4 26 2" xfId="41466"/>
    <cellStyle name="20% - Accent4 4 4 27" xfId="19347"/>
    <cellStyle name="20% - Accent4 4 4 27 2" xfId="42122"/>
    <cellStyle name="20% - Accent4 4 4 28" xfId="20003"/>
    <cellStyle name="20% - Accent4 4 4 28 2" xfId="42778"/>
    <cellStyle name="20% - Accent4 4 4 29" xfId="20659"/>
    <cellStyle name="20% - Accent4 4 4 29 2" xfId="43434"/>
    <cellStyle name="20% - Accent4 4 4 3" xfId="1963"/>
    <cellStyle name="20% - Accent4 4 4 3 2" xfId="4259"/>
    <cellStyle name="20% - Accent4 4 4 3 2 2" xfId="27034"/>
    <cellStyle name="20% - Accent4 4 4 3 3" xfId="24738"/>
    <cellStyle name="20% - Accent4 4 4 30" xfId="21315"/>
    <cellStyle name="20% - Accent4 4 4 30 2" xfId="44090"/>
    <cellStyle name="20% - Accent4 4 4 31" xfId="21971"/>
    <cellStyle name="20% - Accent4 4 4 31 2" xfId="44746"/>
    <cellStyle name="20% - Accent4 4 4 32" xfId="22627"/>
    <cellStyle name="20% - Accent4 4 4 32 2" xfId="45402"/>
    <cellStyle name="20% - Accent4 4 4 33" xfId="23426"/>
    <cellStyle name="20% - Accent4 4 4 4" xfId="4915"/>
    <cellStyle name="20% - Accent4 4 4 4 2" xfId="27690"/>
    <cellStyle name="20% - Accent4 4 4 5" xfId="5571"/>
    <cellStyle name="20% - Accent4 4 4 5 2" xfId="28346"/>
    <cellStyle name="20% - Accent4 4 4 6" xfId="6227"/>
    <cellStyle name="20% - Accent4 4 4 6 2" xfId="29002"/>
    <cellStyle name="20% - Accent4 4 4 7" xfId="2947"/>
    <cellStyle name="20% - Accent4 4 4 7 2" xfId="25722"/>
    <cellStyle name="20% - Accent4 4 4 8" xfId="6883"/>
    <cellStyle name="20% - Accent4 4 4 8 2" xfId="29658"/>
    <cellStyle name="20% - Accent4 4 4 9" xfId="7539"/>
    <cellStyle name="20% - Accent4 4 4 9 2" xfId="30314"/>
    <cellStyle name="20% - Accent4 4 5" xfId="324"/>
    <cellStyle name="20% - Accent4 4 5 2" xfId="2619"/>
    <cellStyle name="20% - Accent4 4 5 2 2" xfId="25394"/>
    <cellStyle name="20% - Accent4 4 5 3" xfId="23098"/>
    <cellStyle name="20% - Accent4 4 6" xfId="979"/>
    <cellStyle name="20% - Accent4 4 6 2" xfId="3275"/>
    <cellStyle name="20% - Accent4 4 6 2 2" xfId="26050"/>
    <cellStyle name="20% - Accent4 4 6 3" xfId="23754"/>
    <cellStyle name="20% - Accent4 4 7" xfId="1635"/>
    <cellStyle name="20% - Accent4 4 7 2" xfId="3931"/>
    <cellStyle name="20% - Accent4 4 7 2 2" xfId="26706"/>
    <cellStyle name="20% - Accent4 4 7 3" xfId="24410"/>
    <cellStyle name="20% - Accent4 4 8" xfId="4587"/>
    <cellStyle name="20% - Accent4 4 8 2" xfId="27362"/>
    <cellStyle name="20% - Accent4 4 9" xfId="5243"/>
    <cellStyle name="20% - Accent4 4 9 2" xfId="28018"/>
    <cellStyle name="20% - Accent4 40" xfId="20286"/>
    <cellStyle name="20% - Accent4 40 2" xfId="43061"/>
    <cellStyle name="20% - Accent4 41" xfId="20942"/>
    <cellStyle name="20% - Accent4 41 2" xfId="43717"/>
    <cellStyle name="20% - Accent4 42" xfId="21598"/>
    <cellStyle name="20% - Accent4 42 2" xfId="44373"/>
    <cellStyle name="20% - Accent4 43" xfId="22254"/>
    <cellStyle name="20% - Accent4 43 2" xfId="45029"/>
    <cellStyle name="20% - Accent4 44" xfId="193"/>
    <cellStyle name="20% - Accent4 45" xfId="22910"/>
    <cellStyle name="20% - Accent4 5" xfId="107"/>
    <cellStyle name="20% - Accent4 5 10" xfId="5913"/>
    <cellStyle name="20% - Accent4 5 10 2" xfId="28688"/>
    <cellStyle name="20% - Accent4 5 11" xfId="2305"/>
    <cellStyle name="20% - Accent4 5 11 2" xfId="25080"/>
    <cellStyle name="20% - Accent4 5 12" xfId="6569"/>
    <cellStyle name="20% - Accent4 5 12 2" xfId="29344"/>
    <cellStyle name="20% - Accent4 5 13" xfId="7225"/>
    <cellStyle name="20% - Accent4 5 13 2" xfId="30000"/>
    <cellStyle name="20% - Accent4 5 14" xfId="7881"/>
    <cellStyle name="20% - Accent4 5 14 2" xfId="30656"/>
    <cellStyle name="20% - Accent4 5 15" xfId="8537"/>
    <cellStyle name="20% - Accent4 5 15 2" xfId="31312"/>
    <cellStyle name="20% - Accent4 5 16" xfId="9193"/>
    <cellStyle name="20% - Accent4 5 16 2" xfId="31968"/>
    <cellStyle name="20% - Accent4 5 17" xfId="9849"/>
    <cellStyle name="20% - Accent4 5 17 2" xfId="32624"/>
    <cellStyle name="20% - Accent4 5 18" xfId="10505"/>
    <cellStyle name="20% - Accent4 5 18 2" xfId="33280"/>
    <cellStyle name="20% - Accent4 5 19" xfId="11161"/>
    <cellStyle name="20% - Accent4 5 19 2" xfId="33936"/>
    <cellStyle name="20% - Accent4 5 2" xfId="178"/>
    <cellStyle name="20% - Accent4 5 2 10" xfId="2376"/>
    <cellStyle name="20% - Accent4 5 2 10 2" xfId="25151"/>
    <cellStyle name="20% - Accent4 5 2 11" xfId="6640"/>
    <cellStyle name="20% - Accent4 5 2 11 2" xfId="29415"/>
    <cellStyle name="20% - Accent4 5 2 12" xfId="7296"/>
    <cellStyle name="20% - Accent4 5 2 12 2" xfId="30071"/>
    <cellStyle name="20% - Accent4 5 2 13" xfId="7952"/>
    <cellStyle name="20% - Accent4 5 2 13 2" xfId="30727"/>
    <cellStyle name="20% - Accent4 5 2 14" xfId="8608"/>
    <cellStyle name="20% - Accent4 5 2 14 2" xfId="31383"/>
    <cellStyle name="20% - Accent4 5 2 15" xfId="9264"/>
    <cellStyle name="20% - Accent4 5 2 15 2" xfId="32039"/>
    <cellStyle name="20% - Accent4 5 2 16" xfId="9920"/>
    <cellStyle name="20% - Accent4 5 2 16 2" xfId="32695"/>
    <cellStyle name="20% - Accent4 5 2 17" xfId="10576"/>
    <cellStyle name="20% - Accent4 5 2 17 2" xfId="33351"/>
    <cellStyle name="20% - Accent4 5 2 18" xfId="11232"/>
    <cellStyle name="20% - Accent4 5 2 18 2" xfId="34007"/>
    <cellStyle name="20% - Accent4 5 2 19" xfId="11888"/>
    <cellStyle name="20% - Accent4 5 2 19 2" xfId="34663"/>
    <cellStyle name="20% - Accent4 5 2 2" xfId="592"/>
    <cellStyle name="20% - Accent4 5 2 2 10" xfId="6825"/>
    <cellStyle name="20% - Accent4 5 2 2 10 2" xfId="29600"/>
    <cellStyle name="20% - Accent4 5 2 2 11" xfId="7481"/>
    <cellStyle name="20% - Accent4 5 2 2 11 2" xfId="30256"/>
    <cellStyle name="20% - Accent4 5 2 2 12" xfId="8137"/>
    <cellStyle name="20% - Accent4 5 2 2 12 2" xfId="30912"/>
    <cellStyle name="20% - Accent4 5 2 2 13" xfId="8793"/>
    <cellStyle name="20% - Accent4 5 2 2 13 2" xfId="31568"/>
    <cellStyle name="20% - Accent4 5 2 2 14" xfId="9449"/>
    <cellStyle name="20% - Accent4 5 2 2 14 2" xfId="32224"/>
    <cellStyle name="20% - Accent4 5 2 2 15" xfId="10105"/>
    <cellStyle name="20% - Accent4 5 2 2 15 2" xfId="32880"/>
    <cellStyle name="20% - Accent4 5 2 2 16" xfId="10761"/>
    <cellStyle name="20% - Accent4 5 2 2 16 2" xfId="33536"/>
    <cellStyle name="20% - Accent4 5 2 2 17" xfId="11417"/>
    <cellStyle name="20% - Accent4 5 2 2 17 2" xfId="34192"/>
    <cellStyle name="20% - Accent4 5 2 2 18" xfId="12073"/>
    <cellStyle name="20% - Accent4 5 2 2 18 2" xfId="34848"/>
    <cellStyle name="20% - Accent4 5 2 2 19" xfId="12729"/>
    <cellStyle name="20% - Accent4 5 2 2 19 2" xfId="35504"/>
    <cellStyle name="20% - Accent4 5 2 2 2" xfId="921"/>
    <cellStyle name="20% - Accent4 5 2 2 2 10" xfId="8465"/>
    <cellStyle name="20% - Accent4 5 2 2 2 10 2" xfId="31240"/>
    <cellStyle name="20% - Accent4 5 2 2 2 11" xfId="9121"/>
    <cellStyle name="20% - Accent4 5 2 2 2 11 2" xfId="31896"/>
    <cellStyle name="20% - Accent4 5 2 2 2 12" xfId="9777"/>
    <cellStyle name="20% - Accent4 5 2 2 2 12 2" xfId="32552"/>
    <cellStyle name="20% - Accent4 5 2 2 2 13" xfId="10433"/>
    <cellStyle name="20% - Accent4 5 2 2 2 13 2" xfId="33208"/>
    <cellStyle name="20% - Accent4 5 2 2 2 14" xfId="11089"/>
    <cellStyle name="20% - Accent4 5 2 2 2 14 2" xfId="33864"/>
    <cellStyle name="20% - Accent4 5 2 2 2 15" xfId="11745"/>
    <cellStyle name="20% - Accent4 5 2 2 2 15 2" xfId="34520"/>
    <cellStyle name="20% - Accent4 5 2 2 2 16" xfId="12401"/>
    <cellStyle name="20% - Accent4 5 2 2 2 16 2" xfId="35176"/>
    <cellStyle name="20% - Accent4 5 2 2 2 17" xfId="13057"/>
    <cellStyle name="20% - Accent4 5 2 2 2 17 2" xfId="35832"/>
    <cellStyle name="20% - Accent4 5 2 2 2 18" xfId="13713"/>
    <cellStyle name="20% - Accent4 5 2 2 2 18 2" xfId="36488"/>
    <cellStyle name="20% - Accent4 5 2 2 2 19" xfId="14369"/>
    <cellStyle name="20% - Accent4 5 2 2 2 19 2" xfId="37144"/>
    <cellStyle name="20% - Accent4 5 2 2 2 2" xfId="1577"/>
    <cellStyle name="20% - Accent4 5 2 2 2 2 2" xfId="3873"/>
    <cellStyle name="20% - Accent4 5 2 2 2 2 2 2" xfId="26648"/>
    <cellStyle name="20% - Accent4 5 2 2 2 2 3" xfId="24352"/>
    <cellStyle name="20% - Accent4 5 2 2 2 20" xfId="15025"/>
    <cellStyle name="20% - Accent4 5 2 2 2 20 2" xfId="37800"/>
    <cellStyle name="20% - Accent4 5 2 2 2 21" xfId="15681"/>
    <cellStyle name="20% - Accent4 5 2 2 2 21 2" xfId="38456"/>
    <cellStyle name="20% - Accent4 5 2 2 2 22" xfId="16337"/>
    <cellStyle name="20% - Accent4 5 2 2 2 22 2" xfId="39112"/>
    <cellStyle name="20% - Accent4 5 2 2 2 23" xfId="16993"/>
    <cellStyle name="20% - Accent4 5 2 2 2 23 2" xfId="39768"/>
    <cellStyle name="20% - Accent4 5 2 2 2 24" xfId="17649"/>
    <cellStyle name="20% - Accent4 5 2 2 2 24 2" xfId="40424"/>
    <cellStyle name="20% - Accent4 5 2 2 2 25" xfId="18305"/>
    <cellStyle name="20% - Accent4 5 2 2 2 25 2" xfId="41080"/>
    <cellStyle name="20% - Accent4 5 2 2 2 26" xfId="18961"/>
    <cellStyle name="20% - Accent4 5 2 2 2 26 2" xfId="41736"/>
    <cellStyle name="20% - Accent4 5 2 2 2 27" xfId="19617"/>
    <cellStyle name="20% - Accent4 5 2 2 2 27 2" xfId="42392"/>
    <cellStyle name="20% - Accent4 5 2 2 2 28" xfId="20273"/>
    <cellStyle name="20% - Accent4 5 2 2 2 28 2" xfId="43048"/>
    <cellStyle name="20% - Accent4 5 2 2 2 29" xfId="20929"/>
    <cellStyle name="20% - Accent4 5 2 2 2 29 2" xfId="43704"/>
    <cellStyle name="20% - Accent4 5 2 2 2 3" xfId="2233"/>
    <cellStyle name="20% - Accent4 5 2 2 2 3 2" xfId="4529"/>
    <cellStyle name="20% - Accent4 5 2 2 2 3 2 2" xfId="27304"/>
    <cellStyle name="20% - Accent4 5 2 2 2 3 3" xfId="25008"/>
    <cellStyle name="20% - Accent4 5 2 2 2 30" xfId="21585"/>
    <cellStyle name="20% - Accent4 5 2 2 2 30 2" xfId="44360"/>
    <cellStyle name="20% - Accent4 5 2 2 2 31" xfId="22241"/>
    <cellStyle name="20% - Accent4 5 2 2 2 31 2" xfId="45016"/>
    <cellStyle name="20% - Accent4 5 2 2 2 32" xfId="22897"/>
    <cellStyle name="20% - Accent4 5 2 2 2 32 2" xfId="45672"/>
    <cellStyle name="20% - Accent4 5 2 2 2 33" xfId="23696"/>
    <cellStyle name="20% - Accent4 5 2 2 2 4" xfId="5185"/>
    <cellStyle name="20% - Accent4 5 2 2 2 4 2" xfId="27960"/>
    <cellStyle name="20% - Accent4 5 2 2 2 5" xfId="5841"/>
    <cellStyle name="20% - Accent4 5 2 2 2 5 2" xfId="28616"/>
    <cellStyle name="20% - Accent4 5 2 2 2 6" xfId="6497"/>
    <cellStyle name="20% - Accent4 5 2 2 2 6 2" xfId="29272"/>
    <cellStyle name="20% - Accent4 5 2 2 2 7" xfId="3217"/>
    <cellStyle name="20% - Accent4 5 2 2 2 7 2" xfId="25992"/>
    <cellStyle name="20% - Accent4 5 2 2 2 8" xfId="7153"/>
    <cellStyle name="20% - Accent4 5 2 2 2 8 2" xfId="29928"/>
    <cellStyle name="20% - Accent4 5 2 2 2 9" xfId="7809"/>
    <cellStyle name="20% - Accent4 5 2 2 2 9 2" xfId="30584"/>
    <cellStyle name="20% - Accent4 5 2 2 20" xfId="13385"/>
    <cellStyle name="20% - Accent4 5 2 2 20 2" xfId="36160"/>
    <cellStyle name="20% - Accent4 5 2 2 21" xfId="14041"/>
    <cellStyle name="20% - Accent4 5 2 2 21 2" xfId="36816"/>
    <cellStyle name="20% - Accent4 5 2 2 22" xfId="14697"/>
    <cellStyle name="20% - Accent4 5 2 2 22 2" xfId="37472"/>
    <cellStyle name="20% - Accent4 5 2 2 23" xfId="15353"/>
    <cellStyle name="20% - Accent4 5 2 2 23 2" xfId="38128"/>
    <cellStyle name="20% - Accent4 5 2 2 24" xfId="16009"/>
    <cellStyle name="20% - Accent4 5 2 2 24 2" xfId="38784"/>
    <cellStyle name="20% - Accent4 5 2 2 25" xfId="16665"/>
    <cellStyle name="20% - Accent4 5 2 2 25 2" xfId="39440"/>
    <cellStyle name="20% - Accent4 5 2 2 26" xfId="17321"/>
    <cellStyle name="20% - Accent4 5 2 2 26 2" xfId="40096"/>
    <cellStyle name="20% - Accent4 5 2 2 27" xfId="17977"/>
    <cellStyle name="20% - Accent4 5 2 2 27 2" xfId="40752"/>
    <cellStyle name="20% - Accent4 5 2 2 28" xfId="18633"/>
    <cellStyle name="20% - Accent4 5 2 2 28 2" xfId="41408"/>
    <cellStyle name="20% - Accent4 5 2 2 29" xfId="19289"/>
    <cellStyle name="20% - Accent4 5 2 2 29 2" xfId="42064"/>
    <cellStyle name="20% - Accent4 5 2 2 3" xfId="1249"/>
    <cellStyle name="20% - Accent4 5 2 2 3 2" xfId="2889"/>
    <cellStyle name="20% - Accent4 5 2 2 3 2 2" xfId="25664"/>
    <cellStyle name="20% - Accent4 5 2 2 3 3" xfId="24024"/>
    <cellStyle name="20% - Accent4 5 2 2 30" xfId="19945"/>
    <cellStyle name="20% - Accent4 5 2 2 30 2" xfId="42720"/>
    <cellStyle name="20% - Accent4 5 2 2 31" xfId="20601"/>
    <cellStyle name="20% - Accent4 5 2 2 31 2" xfId="43376"/>
    <cellStyle name="20% - Accent4 5 2 2 32" xfId="21257"/>
    <cellStyle name="20% - Accent4 5 2 2 32 2" xfId="44032"/>
    <cellStyle name="20% - Accent4 5 2 2 33" xfId="21913"/>
    <cellStyle name="20% - Accent4 5 2 2 33 2" xfId="44688"/>
    <cellStyle name="20% - Accent4 5 2 2 34" xfId="22569"/>
    <cellStyle name="20% - Accent4 5 2 2 34 2" xfId="45344"/>
    <cellStyle name="20% - Accent4 5 2 2 35" xfId="23368"/>
    <cellStyle name="20% - Accent4 5 2 2 4" xfId="1905"/>
    <cellStyle name="20% - Accent4 5 2 2 4 2" xfId="3545"/>
    <cellStyle name="20% - Accent4 5 2 2 4 2 2" xfId="26320"/>
    <cellStyle name="20% - Accent4 5 2 2 4 3" xfId="24680"/>
    <cellStyle name="20% - Accent4 5 2 2 5" xfId="4201"/>
    <cellStyle name="20% - Accent4 5 2 2 5 2" xfId="26976"/>
    <cellStyle name="20% - Accent4 5 2 2 6" xfId="4857"/>
    <cellStyle name="20% - Accent4 5 2 2 6 2" xfId="27632"/>
    <cellStyle name="20% - Accent4 5 2 2 7" xfId="5513"/>
    <cellStyle name="20% - Accent4 5 2 2 7 2" xfId="28288"/>
    <cellStyle name="20% - Accent4 5 2 2 8" xfId="6169"/>
    <cellStyle name="20% - Accent4 5 2 2 8 2" xfId="28944"/>
    <cellStyle name="20% - Accent4 5 2 2 9" xfId="2561"/>
    <cellStyle name="20% - Accent4 5 2 2 9 2" xfId="25336"/>
    <cellStyle name="20% - Accent4 5 2 20" xfId="12544"/>
    <cellStyle name="20% - Accent4 5 2 20 2" xfId="35319"/>
    <cellStyle name="20% - Accent4 5 2 21" xfId="13200"/>
    <cellStyle name="20% - Accent4 5 2 21 2" xfId="35975"/>
    <cellStyle name="20% - Accent4 5 2 22" xfId="13856"/>
    <cellStyle name="20% - Accent4 5 2 22 2" xfId="36631"/>
    <cellStyle name="20% - Accent4 5 2 23" xfId="14512"/>
    <cellStyle name="20% - Accent4 5 2 23 2" xfId="37287"/>
    <cellStyle name="20% - Accent4 5 2 24" xfId="15168"/>
    <cellStyle name="20% - Accent4 5 2 24 2" xfId="37943"/>
    <cellStyle name="20% - Accent4 5 2 25" xfId="15824"/>
    <cellStyle name="20% - Accent4 5 2 25 2" xfId="38599"/>
    <cellStyle name="20% - Accent4 5 2 26" xfId="16480"/>
    <cellStyle name="20% - Accent4 5 2 26 2" xfId="39255"/>
    <cellStyle name="20% - Accent4 5 2 27" xfId="17136"/>
    <cellStyle name="20% - Accent4 5 2 27 2" xfId="39911"/>
    <cellStyle name="20% - Accent4 5 2 28" xfId="17792"/>
    <cellStyle name="20% - Accent4 5 2 28 2" xfId="40567"/>
    <cellStyle name="20% - Accent4 5 2 29" xfId="18448"/>
    <cellStyle name="20% - Accent4 5 2 29 2" xfId="41223"/>
    <cellStyle name="20% - Accent4 5 2 3" xfId="736"/>
    <cellStyle name="20% - Accent4 5 2 3 10" xfId="8280"/>
    <cellStyle name="20% - Accent4 5 2 3 10 2" xfId="31055"/>
    <cellStyle name="20% - Accent4 5 2 3 11" xfId="8936"/>
    <cellStyle name="20% - Accent4 5 2 3 11 2" xfId="31711"/>
    <cellStyle name="20% - Accent4 5 2 3 12" xfId="9592"/>
    <cellStyle name="20% - Accent4 5 2 3 12 2" xfId="32367"/>
    <cellStyle name="20% - Accent4 5 2 3 13" xfId="10248"/>
    <cellStyle name="20% - Accent4 5 2 3 13 2" xfId="33023"/>
    <cellStyle name="20% - Accent4 5 2 3 14" xfId="10904"/>
    <cellStyle name="20% - Accent4 5 2 3 14 2" xfId="33679"/>
    <cellStyle name="20% - Accent4 5 2 3 15" xfId="11560"/>
    <cellStyle name="20% - Accent4 5 2 3 15 2" xfId="34335"/>
    <cellStyle name="20% - Accent4 5 2 3 16" xfId="12216"/>
    <cellStyle name="20% - Accent4 5 2 3 16 2" xfId="34991"/>
    <cellStyle name="20% - Accent4 5 2 3 17" xfId="12872"/>
    <cellStyle name="20% - Accent4 5 2 3 17 2" xfId="35647"/>
    <cellStyle name="20% - Accent4 5 2 3 18" xfId="13528"/>
    <cellStyle name="20% - Accent4 5 2 3 18 2" xfId="36303"/>
    <cellStyle name="20% - Accent4 5 2 3 19" xfId="14184"/>
    <cellStyle name="20% - Accent4 5 2 3 19 2" xfId="36959"/>
    <cellStyle name="20% - Accent4 5 2 3 2" xfId="1392"/>
    <cellStyle name="20% - Accent4 5 2 3 2 2" xfId="3688"/>
    <cellStyle name="20% - Accent4 5 2 3 2 2 2" xfId="26463"/>
    <cellStyle name="20% - Accent4 5 2 3 2 3" xfId="24167"/>
    <cellStyle name="20% - Accent4 5 2 3 20" xfId="14840"/>
    <cellStyle name="20% - Accent4 5 2 3 20 2" xfId="37615"/>
    <cellStyle name="20% - Accent4 5 2 3 21" xfId="15496"/>
    <cellStyle name="20% - Accent4 5 2 3 21 2" xfId="38271"/>
    <cellStyle name="20% - Accent4 5 2 3 22" xfId="16152"/>
    <cellStyle name="20% - Accent4 5 2 3 22 2" xfId="38927"/>
    <cellStyle name="20% - Accent4 5 2 3 23" xfId="16808"/>
    <cellStyle name="20% - Accent4 5 2 3 23 2" xfId="39583"/>
    <cellStyle name="20% - Accent4 5 2 3 24" xfId="17464"/>
    <cellStyle name="20% - Accent4 5 2 3 24 2" xfId="40239"/>
    <cellStyle name="20% - Accent4 5 2 3 25" xfId="18120"/>
    <cellStyle name="20% - Accent4 5 2 3 25 2" xfId="40895"/>
    <cellStyle name="20% - Accent4 5 2 3 26" xfId="18776"/>
    <cellStyle name="20% - Accent4 5 2 3 26 2" xfId="41551"/>
    <cellStyle name="20% - Accent4 5 2 3 27" xfId="19432"/>
    <cellStyle name="20% - Accent4 5 2 3 27 2" xfId="42207"/>
    <cellStyle name="20% - Accent4 5 2 3 28" xfId="20088"/>
    <cellStyle name="20% - Accent4 5 2 3 28 2" xfId="42863"/>
    <cellStyle name="20% - Accent4 5 2 3 29" xfId="20744"/>
    <cellStyle name="20% - Accent4 5 2 3 29 2" xfId="43519"/>
    <cellStyle name="20% - Accent4 5 2 3 3" xfId="2048"/>
    <cellStyle name="20% - Accent4 5 2 3 3 2" xfId="4344"/>
    <cellStyle name="20% - Accent4 5 2 3 3 2 2" xfId="27119"/>
    <cellStyle name="20% - Accent4 5 2 3 3 3" xfId="24823"/>
    <cellStyle name="20% - Accent4 5 2 3 30" xfId="21400"/>
    <cellStyle name="20% - Accent4 5 2 3 30 2" xfId="44175"/>
    <cellStyle name="20% - Accent4 5 2 3 31" xfId="22056"/>
    <cellStyle name="20% - Accent4 5 2 3 31 2" xfId="44831"/>
    <cellStyle name="20% - Accent4 5 2 3 32" xfId="22712"/>
    <cellStyle name="20% - Accent4 5 2 3 32 2" xfId="45487"/>
    <cellStyle name="20% - Accent4 5 2 3 33" xfId="23511"/>
    <cellStyle name="20% - Accent4 5 2 3 4" xfId="5000"/>
    <cellStyle name="20% - Accent4 5 2 3 4 2" xfId="27775"/>
    <cellStyle name="20% - Accent4 5 2 3 5" xfId="5656"/>
    <cellStyle name="20% - Accent4 5 2 3 5 2" xfId="28431"/>
    <cellStyle name="20% - Accent4 5 2 3 6" xfId="6312"/>
    <cellStyle name="20% - Accent4 5 2 3 6 2" xfId="29087"/>
    <cellStyle name="20% - Accent4 5 2 3 7" xfId="3032"/>
    <cellStyle name="20% - Accent4 5 2 3 7 2" xfId="25807"/>
    <cellStyle name="20% - Accent4 5 2 3 8" xfId="6968"/>
    <cellStyle name="20% - Accent4 5 2 3 8 2" xfId="29743"/>
    <cellStyle name="20% - Accent4 5 2 3 9" xfId="7624"/>
    <cellStyle name="20% - Accent4 5 2 3 9 2" xfId="30399"/>
    <cellStyle name="20% - Accent4 5 2 30" xfId="19104"/>
    <cellStyle name="20% - Accent4 5 2 30 2" xfId="41879"/>
    <cellStyle name="20% - Accent4 5 2 31" xfId="19760"/>
    <cellStyle name="20% - Accent4 5 2 31 2" xfId="42535"/>
    <cellStyle name="20% - Accent4 5 2 32" xfId="20416"/>
    <cellStyle name="20% - Accent4 5 2 32 2" xfId="43191"/>
    <cellStyle name="20% - Accent4 5 2 33" xfId="21072"/>
    <cellStyle name="20% - Accent4 5 2 33 2" xfId="43847"/>
    <cellStyle name="20% - Accent4 5 2 34" xfId="21728"/>
    <cellStyle name="20% - Accent4 5 2 34 2" xfId="44503"/>
    <cellStyle name="20% - Accent4 5 2 35" xfId="22384"/>
    <cellStyle name="20% - Accent4 5 2 35 2" xfId="45159"/>
    <cellStyle name="20% - Accent4 5 2 36" xfId="23040"/>
    <cellStyle name="20% - Accent4 5 2 4" xfId="409"/>
    <cellStyle name="20% - Accent4 5 2 4 2" xfId="2704"/>
    <cellStyle name="20% - Accent4 5 2 4 2 2" xfId="25479"/>
    <cellStyle name="20% - Accent4 5 2 4 3" xfId="23183"/>
    <cellStyle name="20% - Accent4 5 2 5" xfId="1064"/>
    <cellStyle name="20% - Accent4 5 2 5 2" xfId="3360"/>
    <cellStyle name="20% - Accent4 5 2 5 2 2" xfId="26135"/>
    <cellStyle name="20% - Accent4 5 2 5 3" xfId="23839"/>
    <cellStyle name="20% - Accent4 5 2 6" xfId="1720"/>
    <cellStyle name="20% - Accent4 5 2 6 2" xfId="4016"/>
    <cellStyle name="20% - Accent4 5 2 6 2 2" xfId="26791"/>
    <cellStyle name="20% - Accent4 5 2 6 3" xfId="24495"/>
    <cellStyle name="20% - Accent4 5 2 7" xfId="4672"/>
    <cellStyle name="20% - Accent4 5 2 7 2" xfId="27447"/>
    <cellStyle name="20% - Accent4 5 2 8" xfId="5328"/>
    <cellStyle name="20% - Accent4 5 2 8 2" xfId="28103"/>
    <cellStyle name="20% - Accent4 5 2 9" xfId="5984"/>
    <cellStyle name="20% - Accent4 5 2 9 2" xfId="28759"/>
    <cellStyle name="20% - Accent4 5 20" xfId="11817"/>
    <cellStyle name="20% - Accent4 5 20 2" xfId="34592"/>
    <cellStyle name="20% - Accent4 5 21" xfId="12473"/>
    <cellStyle name="20% - Accent4 5 21 2" xfId="35248"/>
    <cellStyle name="20% - Accent4 5 22" xfId="13129"/>
    <cellStyle name="20% - Accent4 5 22 2" xfId="35904"/>
    <cellStyle name="20% - Accent4 5 23" xfId="13785"/>
    <cellStyle name="20% - Accent4 5 23 2" xfId="36560"/>
    <cellStyle name="20% - Accent4 5 24" xfId="14441"/>
    <cellStyle name="20% - Accent4 5 24 2" xfId="37216"/>
    <cellStyle name="20% - Accent4 5 25" xfId="15097"/>
    <cellStyle name="20% - Accent4 5 25 2" xfId="37872"/>
    <cellStyle name="20% - Accent4 5 26" xfId="15753"/>
    <cellStyle name="20% - Accent4 5 26 2" xfId="38528"/>
    <cellStyle name="20% - Accent4 5 27" xfId="16409"/>
    <cellStyle name="20% - Accent4 5 27 2" xfId="39184"/>
    <cellStyle name="20% - Accent4 5 28" xfId="17065"/>
    <cellStyle name="20% - Accent4 5 28 2" xfId="39840"/>
    <cellStyle name="20% - Accent4 5 29" xfId="17721"/>
    <cellStyle name="20% - Accent4 5 29 2" xfId="40496"/>
    <cellStyle name="20% - Accent4 5 3" xfId="522"/>
    <cellStyle name="20% - Accent4 5 3 10" xfId="6754"/>
    <cellStyle name="20% - Accent4 5 3 10 2" xfId="29529"/>
    <cellStyle name="20% - Accent4 5 3 11" xfId="7410"/>
    <cellStyle name="20% - Accent4 5 3 11 2" xfId="30185"/>
    <cellStyle name="20% - Accent4 5 3 12" xfId="8066"/>
    <cellStyle name="20% - Accent4 5 3 12 2" xfId="30841"/>
    <cellStyle name="20% - Accent4 5 3 13" xfId="8722"/>
    <cellStyle name="20% - Accent4 5 3 13 2" xfId="31497"/>
    <cellStyle name="20% - Accent4 5 3 14" xfId="9378"/>
    <cellStyle name="20% - Accent4 5 3 14 2" xfId="32153"/>
    <cellStyle name="20% - Accent4 5 3 15" xfId="10034"/>
    <cellStyle name="20% - Accent4 5 3 15 2" xfId="32809"/>
    <cellStyle name="20% - Accent4 5 3 16" xfId="10690"/>
    <cellStyle name="20% - Accent4 5 3 16 2" xfId="33465"/>
    <cellStyle name="20% - Accent4 5 3 17" xfId="11346"/>
    <cellStyle name="20% - Accent4 5 3 17 2" xfId="34121"/>
    <cellStyle name="20% - Accent4 5 3 18" xfId="12002"/>
    <cellStyle name="20% - Accent4 5 3 18 2" xfId="34777"/>
    <cellStyle name="20% - Accent4 5 3 19" xfId="12658"/>
    <cellStyle name="20% - Accent4 5 3 19 2" xfId="35433"/>
    <cellStyle name="20% - Accent4 5 3 2" xfId="850"/>
    <cellStyle name="20% - Accent4 5 3 2 10" xfId="8394"/>
    <cellStyle name="20% - Accent4 5 3 2 10 2" xfId="31169"/>
    <cellStyle name="20% - Accent4 5 3 2 11" xfId="9050"/>
    <cellStyle name="20% - Accent4 5 3 2 11 2" xfId="31825"/>
    <cellStyle name="20% - Accent4 5 3 2 12" xfId="9706"/>
    <cellStyle name="20% - Accent4 5 3 2 12 2" xfId="32481"/>
    <cellStyle name="20% - Accent4 5 3 2 13" xfId="10362"/>
    <cellStyle name="20% - Accent4 5 3 2 13 2" xfId="33137"/>
    <cellStyle name="20% - Accent4 5 3 2 14" xfId="11018"/>
    <cellStyle name="20% - Accent4 5 3 2 14 2" xfId="33793"/>
    <cellStyle name="20% - Accent4 5 3 2 15" xfId="11674"/>
    <cellStyle name="20% - Accent4 5 3 2 15 2" xfId="34449"/>
    <cellStyle name="20% - Accent4 5 3 2 16" xfId="12330"/>
    <cellStyle name="20% - Accent4 5 3 2 16 2" xfId="35105"/>
    <cellStyle name="20% - Accent4 5 3 2 17" xfId="12986"/>
    <cellStyle name="20% - Accent4 5 3 2 17 2" xfId="35761"/>
    <cellStyle name="20% - Accent4 5 3 2 18" xfId="13642"/>
    <cellStyle name="20% - Accent4 5 3 2 18 2" xfId="36417"/>
    <cellStyle name="20% - Accent4 5 3 2 19" xfId="14298"/>
    <cellStyle name="20% - Accent4 5 3 2 19 2" xfId="37073"/>
    <cellStyle name="20% - Accent4 5 3 2 2" xfId="1506"/>
    <cellStyle name="20% - Accent4 5 3 2 2 2" xfId="3802"/>
    <cellStyle name="20% - Accent4 5 3 2 2 2 2" xfId="26577"/>
    <cellStyle name="20% - Accent4 5 3 2 2 3" xfId="24281"/>
    <cellStyle name="20% - Accent4 5 3 2 20" xfId="14954"/>
    <cellStyle name="20% - Accent4 5 3 2 20 2" xfId="37729"/>
    <cellStyle name="20% - Accent4 5 3 2 21" xfId="15610"/>
    <cellStyle name="20% - Accent4 5 3 2 21 2" xfId="38385"/>
    <cellStyle name="20% - Accent4 5 3 2 22" xfId="16266"/>
    <cellStyle name="20% - Accent4 5 3 2 22 2" xfId="39041"/>
    <cellStyle name="20% - Accent4 5 3 2 23" xfId="16922"/>
    <cellStyle name="20% - Accent4 5 3 2 23 2" xfId="39697"/>
    <cellStyle name="20% - Accent4 5 3 2 24" xfId="17578"/>
    <cellStyle name="20% - Accent4 5 3 2 24 2" xfId="40353"/>
    <cellStyle name="20% - Accent4 5 3 2 25" xfId="18234"/>
    <cellStyle name="20% - Accent4 5 3 2 25 2" xfId="41009"/>
    <cellStyle name="20% - Accent4 5 3 2 26" xfId="18890"/>
    <cellStyle name="20% - Accent4 5 3 2 26 2" xfId="41665"/>
    <cellStyle name="20% - Accent4 5 3 2 27" xfId="19546"/>
    <cellStyle name="20% - Accent4 5 3 2 27 2" xfId="42321"/>
    <cellStyle name="20% - Accent4 5 3 2 28" xfId="20202"/>
    <cellStyle name="20% - Accent4 5 3 2 28 2" xfId="42977"/>
    <cellStyle name="20% - Accent4 5 3 2 29" xfId="20858"/>
    <cellStyle name="20% - Accent4 5 3 2 29 2" xfId="43633"/>
    <cellStyle name="20% - Accent4 5 3 2 3" xfId="2162"/>
    <cellStyle name="20% - Accent4 5 3 2 3 2" xfId="4458"/>
    <cellStyle name="20% - Accent4 5 3 2 3 2 2" xfId="27233"/>
    <cellStyle name="20% - Accent4 5 3 2 3 3" xfId="24937"/>
    <cellStyle name="20% - Accent4 5 3 2 30" xfId="21514"/>
    <cellStyle name="20% - Accent4 5 3 2 30 2" xfId="44289"/>
    <cellStyle name="20% - Accent4 5 3 2 31" xfId="22170"/>
    <cellStyle name="20% - Accent4 5 3 2 31 2" xfId="44945"/>
    <cellStyle name="20% - Accent4 5 3 2 32" xfId="22826"/>
    <cellStyle name="20% - Accent4 5 3 2 32 2" xfId="45601"/>
    <cellStyle name="20% - Accent4 5 3 2 33" xfId="23625"/>
    <cellStyle name="20% - Accent4 5 3 2 4" xfId="5114"/>
    <cellStyle name="20% - Accent4 5 3 2 4 2" xfId="27889"/>
    <cellStyle name="20% - Accent4 5 3 2 5" xfId="5770"/>
    <cellStyle name="20% - Accent4 5 3 2 5 2" xfId="28545"/>
    <cellStyle name="20% - Accent4 5 3 2 6" xfId="6426"/>
    <cellStyle name="20% - Accent4 5 3 2 6 2" xfId="29201"/>
    <cellStyle name="20% - Accent4 5 3 2 7" xfId="3146"/>
    <cellStyle name="20% - Accent4 5 3 2 7 2" xfId="25921"/>
    <cellStyle name="20% - Accent4 5 3 2 8" xfId="7082"/>
    <cellStyle name="20% - Accent4 5 3 2 8 2" xfId="29857"/>
    <cellStyle name="20% - Accent4 5 3 2 9" xfId="7738"/>
    <cellStyle name="20% - Accent4 5 3 2 9 2" xfId="30513"/>
    <cellStyle name="20% - Accent4 5 3 20" xfId="13314"/>
    <cellStyle name="20% - Accent4 5 3 20 2" xfId="36089"/>
    <cellStyle name="20% - Accent4 5 3 21" xfId="13970"/>
    <cellStyle name="20% - Accent4 5 3 21 2" xfId="36745"/>
    <cellStyle name="20% - Accent4 5 3 22" xfId="14626"/>
    <cellStyle name="20% - Accent4 5 3 22 2" xfId="37401"/>
    <cellStyle name="20% - Accent4 5 3 23" xfId="15282"/>
    <cellStyle name="20% - Accent4 5 3 23 2" xfId="38057"/>
    <cellStyle name="20% - Accent4 5 3 24" xfId="15938"/>
    <cellStyle name="20% - Accent4 5 3 24 2" xfId="38713"/>
    <cellStyle name="20% - Accent4 5 3 25" xfId="16594"/>
    <cellStyle name="20% - Accent4 5 3 25 2" xfId="39369"/>
    <cellStyle name="20% - Accent4 5 3 26" xfId="17250"/>
    <cellStyle name="20% - Accent4 5 3 26 2" xfId="40025"/>
    <cellStyle name="20% - Accent4 5 3 27" xfId="17906"/>
    <cellStyle name="20% - Accent4 5 3 27 2" xfId="40681"/>
    <cellStyle name="20% - Accent4 5 3 28" xfId="18562"/>
    <cellStyle name="20% - Accent4 5 3 28 2" xfId="41337"/>
    <cellStyle name="20% - Accent4 5 3 29" xfId="19218"/>
    <cellStyle name="20% - Accent4 5 3 29 2" xfId="41993"/>
    <cellStyle name="20% - Accent4 5 3 3" xfId="1178"/>
    <cellStyle name="20% - Accent4 5 3 3 2" xfId="2818"/>
    <cellStyle name="20% - Accent4 5 3 3 2 2" xfId="25593"/>
    <cellStyle name="20% - Accent4 5 3 3 3" xfId="23953"/>
    <cellStyle name="20% - Accent4 5 3 30" xfId="19874"/>
    <cellStyle name="20% - Accent4 5 3 30 2" xfId="42649"/>
    <cellStyle name="20% - Accent4 5 3 31" xfId="20530"/>
    <cellStyle name="20% - Accent4 5 3 31 2" xfId="43305"/>
    <cellStyle name="20% - Accent4 5 3 32" xfId="21186"/>
    <cellStyle name="20% - Accent4 5 3 32 2" xfId="43961"/>
    <cellStyle name="20% - Accent4 5 3 33" xfId="21842"/>
    <cellStyle name="20% - Accent4 5 3 33 2" xfId="44617"/>
    <cellStyle name="20% - Accent4 5 3 34" xfId="22498"/>
    <cellStyle name="20% - Accent4 5 3 34 2" xfId="45273"/>
    <cellStyle name="20% - Accent4 5 3 35" xfId="23297"/>
    <cellStyle name="20% - Accent4 5 3 4" xfId="1834"/>
    <cellStyle name="20% - Accent4 5 3 4 2" xfId="3474"/>
    <cellStyle name="20% - Accent4 5 3 4 2 2" xfId="26249"/>
    <cellStyle name="20% - Accent4 5 3 4 3" xfId="24609"/>
    <cellStyle name="20% - Accent4 5 3 5" xfId="4130"/>
    <cellStyle name="20% - Accent4 5 3 5 2" xfId="26905"/>
    <cellStyle name="20% - Accent4 5 3 6" xfId="4786"/>
    <cellStyle name="20% - Accent4 5 3 6 2" xfId="27561"/>
    <cellStyle name="20% - Accent4 5 3 7" xfId="5442"/>
    <cellStyle name="20% - Accent4 5 3 7 2" xfId="28217"/>
    <cellStyle name="20% - Accent4 5 3 8" xfId="6098"/>
    <cellStyle name="20% - Accent4 5 3 8 2" xfId="28873"/>
    <cellStyle name="20% - Accent4 5 3 9" xfId="2490"/>
    <cellStyle name="20% - Accent4 5 3 9 2" xfId="25265"/>
    <cellStyle name="20% - Accent4 5 30" xfId="18377"/>
    <cellStyle name="20% - Accent4 5 30 2" xfId="41152"/>
    <cellStyle name="20% - Accent4 5 31" xfId="19033"/>
    <cellStyle name="20% - Accent4 5 31 2" xfId="41808"/>
    <cellStyle name="20% - Accent4 5 32" xfId="19689"/>
    <cellStyle name="20% - Accent4 5 32 2" xfId="42464"/>
    <cellStyle name="20% - Accent4 5 33" xfId="20345"/>
    <cellStyle name="20% - Accent4 5 33 2" xfId="43120"/>
    <cellStyle name="20% - Accent4 5 34" xfId="21001"/>
    <cellStyle name="20% - Accent4 5 34 2" xfId="43776"/>
    <cellStyle name="20% - Accent4 5 35" xfId="21657"/>
    <cellStyle name="20% - Accent4 5 35 2" xfId="44432"/>
    <cellStyle name="20% - Accent4 5 36" xfId="22313"/>
    <cellStyle name="20% - Accent4 5 36 2" xfId="45088"/>
    <cellStyle name="20% - Accent4 5 37" xfId="252"/>
    <cellStyle name="20% - Accent4 5 38" xfId="22969"/>
    <cellStyle name="20% - Accent4 5 4" xfId="665"/>
    <cellStyle name="20% - Accent4 5 4 10" xfId="8209"/>
    <cellStyle name="20% - Accent4 5 4 10 2" xfId="30984"/>
    <cellStyle name="20% - Accent4 5 4 11" xfId="8865"/>
    <cellStyle name="20% - Accent4 5 4 11 2" xfId="31640"/>
    <cellStyle name="20% - Accent4 5 4 12" xfId="9521"/>
    <cellStyle name="20% - Accent4 5 4 12 2" xfId="32296"/>
    <cellStyle name="20% - Accent4 5 4 13" xfId="10177"/>
    <cellStyle name="20% - Accent4 5 4 13 2" xfId="32952"/>
    <cellStyle name="20% - Accent4 5 4 14" xfId="10833"/>
    <cellStyle name="20% - Accent4 5 4 14 2" xfId="33608"/>
    <cellStyle name="20% - Accent4 5 4 15" xfId="11489"/>
    <cellStyle name="20% - Accent4 5 4 15 2" xfId="34264"/>
    <cellStyle name="20% - Accent4 5 4 16" xfId="12145"/>
    <cellStyle name="20% - Accent4 5 4 16 2" xfId="34920"/>
    <cellStyle name="20% - Accent4 5 4 17" xfId="12801"/>
    <cellStyle name="20% - Accent4 5 4 17 2" xfId="35576"/>
    <cellStyle name="20% - Accent4 5 4 18" xfId="13457"/>
    <cellStyle name="20% - Accent4 5 4 18 2" xfId="36232"/>
    <cellStyle name="20% - Accent4 5 4 19" xfId="14113"/>
    <cellStyle name="20% - Accent4 5 4 19 2" xfId="36888"/>
    <cellStyle name="20% - Accent4 5 4 2" xfId="1321"/>
    <cellStyle name="20% - Accent4 5 4 2 2" xfId="3617"/>
    <cellStyle name="20% - Accent4 5 4 2 2 2" xfId="26392"/>
    <cellStyle name="20% - Accent4 5 4 2 3" xfId="24096"/>
    <cellStyle name="20% - Accent4 5 4 20" xfId="14769"/>
    <cellStyle name="20% - Accent4 5 4 20 2" xfId="37544"/>
    <cellStyle name="20% - Accent4 5 4 21" xfId="15425"/>
    <cellStyle name="20% - Accent4 5 4 21 2" xfId="38200"/>
    <cellStyle name="20% - Accent4 5 4 22" xfId="16081"/>
    <cellStyle name="20% - Accent4 5 4 22 2" xfId="38856"/>
    <cellStyle name="20% - Accent4 5 4 23" xfId="16737"/>
    <cellStyle name="20% - Accent4 5 4 23 2" xfId="39512"/>
    <cellStyle name="20% - Accent4 5 4 24" xfId="17393"/>
    <cellStyle name="20% - Accent4 5 4 24 2" xfId="40168"/>
    <cellStyle name="20% - Accent4 5 4 25" xfId="18049"/>
    <cellStyle name="20% - Accent4 5 4 25 2" xfId="40824"/>
    <cellStyle name="20% - Accent4 5 4 26" xfId="18705"/>
    <cellStyle name="20% - Accent4 5 4 26 2" xfId="41480"/>
    <cellStyle name="20% - Accent4 5 4 27" xfId="19361"/>
    <cellStyle name="20% - Accent4 5 4 27 2" xfId="42136"/>
    <cellStyle name="20% - Accent4 5 4 28" xfId="20017"/>
    <cellStyle name="20% - Accent4 5 4 28 2" xfId="42792"/>
    <cellStyle name="20% - Accent4 5 4 29" xfId="20673"/>
    <cellStyle name="20% - Accent4 5 4 29 2" xfId="43448"/>
    <cellStyle name="20% - Accent4 5 4 3" xfId="1977"/>
    <cellStyle name="20% - Accent4 5 4 3 2" xfId="4273"/>
    <cellStyle name="20% - Accent4 5 4 3 2 2" xfId="27048"/>
    <cellStyle name="20% - Accent4 5 4 3 3" xfId="24752"/>
    <cellStyle name="20% - Accent4 5 4 30" xfId="21329"/>
    <cellStyle name="20% - Accent4 5 4 30 2" xfId="44104"/>
    <cellStyle name="20% - Accent4 5 4 31" xfId="21985"/>
    <cellStyle name="20% - Accent4 5 4 31 2" xfId="44760"/>
    <cellStyle name="20% - Accent4 5 4 32" xfId="22641"/>
    <cellStyle name="20% - Accent4 5 4 32 2" xfId="45416"/>
    <cellStyle name="20% - Accent4 5 4 33" xfId="23440"/>
    <cellStyle name="20% - Accent4 5 4 4" xfId="4929"/>
    <cellStyle name="20% - Accent4 5 4 4 2" xfId="27704"/>
    <cellStyle name="20% - Accent4 5 4 5" xfId="5585"/>
    <cellStyle name="20% - Accent4 5 4 5 2" xfId="28360"/>
    <cellStyle name="20% - Accent4 5 4 6" xfId="6241"/>
    <cellStyle name="20% - Accent4 5 4 6 2" xfId="29016"/>
    <cellStyle name="20% - Accent4 5 4 7" xfId="2961"/>
    <cellStyle name="20% - Accent4 5 4 7 2" xfId="25736"/>
    <cellStyle name="20% - Accent4 5 4 8" xfId="6897"/>
    <cellStyle name="20% - Accent4 5 4 8 2" xfId="29672"/>
    <cellStyle name="20% - Accent4 5 4 9" xfId="7553"/>
    <cellStyle name="20% - Accent4 5 4 9 2" xfId="30328"/>
    <cellStyle name="20% - Accent4 5 5" xfId="338"/>
    <cellStyle name="20% - Accent4 5 5 2" xfId="2633"/>
    <cellStyle name="20% - Accent4 5 5 2 2" xfId="25408"/>
    <cellStyle name="20% - Accent4 5 5 3" xfId="23112"/>
    <cellStyle name="20% - Accent4 5 6" xfId="993"/>
    <cellStyle name="20% - Accent4 5 6 2" xfId="3289"/>
    <cellStyle name="20% - Accent4 5 6 2 2" xfId="26064"/>
    <cellStyle name="20% - Accent4 5 6 3" xfId="23768"/>
    <cellStyle name="20% - Accent4 5 7" xfId="1649"/>
    <cellStyle name="20% - Accent4 5 7 2" xfId="3945"/>
    <cellStyle name="20% - Accent4 5 7 2 2" xfId="26720"/>
    <cellStyle name="20% - Accent4 5 7 3" xfId="24424"/>
    <cellStyle name="20% - Accent4 5 8" xfId="4601"/>
    <cellStyle name="20% - Accent4 5 8 2" xfId="27376"/>
    <cellStyle name="20% - Accent4 5 9" xfId="5257"/>
    <cellStyle name="20% - Accent4 5 9 2" xfId="28032"/>
    <cellStyle name="20% - Accent4 6" xfId="120"/>
    <cellStyle name="20% - Accent4 6 10" xfId="2318"/>
    <cellStyle name="20% - Accent4 6 10 2" xfId="25093"/>
    <cellStyle name="20% - Accent4 6 11" xfId="6582"/>
    <cellStyle name="20% - Accent4 6 11 2" xfId="29357"/>
    <cellStyle name="20% - Accent4 6 12" xfId="7238"/>
    <cellStyle name="20% - Accent4 6 12 2" xfId="30013"/>
    <cellStyle name="20% - Accent4 6 13" xfId="7894"/>
    <cellStyle name="20% - Accent4 6 13 2" xfId="30669"/>
    <cellStyle name="20% - Accent4 6 14" xfId="8550"/>
    <cellStyle name="20% - Accent4 6 14 2" xfId="31325"/>
    <cellStyle name="20% - Accent4 6 15" xfId="9206"/>
    <cellStyle name="20% - Accent4 6 15 2" xfId="31981"/>
    <cellStyle name="20% - Accent4 6 16" xfId="9862"/>
    <cellStyle name="20% - Accent4 6 16 2" xfId="32637"/>
    <cellStyle name="20% - Accent4 6 17" xfId="10518"/>
    <cellStyle name="20% - Accent4 6 17 2" xfId="33293"/>
    <cellStyle name="20% - Accent4 6 18" xfId="11174"/>
    <cellStyle name="20% - Accent4 6 18 2" xfId="33949"/>
    <cellStyle name="20% - Accent4 6 19" xfId="11830"/>
    <cellStyle name="20% - Accent4 6 19 2" xfId="34605"/>
    <cellStyle name="20% - Accent4 6 2" xfId="534"/>
    <cellStyle name="20% - Accent4 6 2 10" xfId="6767"/>
    <cellStyle name="20% - Accent4 6 2 10 2" xfId="29542"/>
    <cellStyle name="20% - Accent4 6 2 11" xfId="7423"/>
    <cellStyle name="20% - Accent4 6 2 11 2" xfId="30198"/>
    <cellStyle name="20% - Accent4 6 2 12" xfId="8079"/>
    <cellStyle name="20% - Accent4 6 2 12 2" xfId="30854"/>
    <cellStyle name="20% - Accent4 6 2 13" xfId="8735"/>
    <cellStyle name="20% - Accent4 6 2 13 2" xfId="31510"/>
    <cellStyle name="20% - Accent4 6 2 14" xfId="9391"/>
    <cellStyle name="20% - Accent4 6 2 14 2" xfId="32166"/>
    <cellStyle name="20% - Accent4 6 2 15" xfId="10047"/>
    <cellStyle name="20% - Accent4 6 2 15 2" xfId="32822"/>
    <cellStyle name="20% - Accent4 6 2 16" xfId="10703"/>
    <cellStyle name="20% - Accent4 6 2 16 2" xfId="33478"/>
    <cellStyle name="20% - Accent4 6 2 17" xfId="11359"/>
    <cellStyle name="20% - Accent4 6 2 17 2" xfId="34134"/>
    <cellStyle name="20% - Accent4 6 2 18" xfId="12015"/>
    <cellStyle name="20% - Accent4 6 2 18 2" xfId="34790"/>
    <cellStyle name="20% - Accent4 6 2 19" xfId="12671"/>
    <cellStyle name="20% - Accent4 6 2 19 2" xfId="35446"/>
    <cellStyle name="20% - Accent4 6 2 2" xfId="863"/>
    <cellStyle name="20% - Accent4 6 2 2 10" xfId="8407"/>
    <cellStyle name="20% - Accent4 6 2 2 10 2" xfId="31182"/>
    <cellStyle name="20% - Accent4 6 2 2 11" xfId="9063"/>
    <cellStyle name="20% - Accent4 6 2 2 11 2" xfId="31838"/>
    <cellStyle name="20% - Accent4 6 2 2 12" xfId="9719"/>
    <cellStyle name="20% - Accent4 6 2 2 12 2" xfId="32494"/>
    <cellStyle name="20% - Accent4 6 2 2 13" xfId="10375"/>
    <cellStyle name="20% - Accent4 6 2 2 13 2" xfId="33150"/>
    <cellStyle name="20% - Accent4 6 2 2 14" xfId="11031"/>
    <cellStyle name="20% - Accent4 6 2 2 14 2" xfId="33806"/>
    <cellStyle name="20% - Accent4 6 2 2 15" xfId="11687"/>
    <cellStyle name="20% - Accent4 6 2 2 15 2" xfId="34462"/>
    <cellStyle name="20% - Accent4 6 2 2 16" xfId="12343"/>
    <cellStyle name="20% - Accent4 6 2 2 16 2" xfId="35118"/>
    <cellStyle name="20% - Accent4 6 2 2 17" xfId="12999"/>
    <cellStyle name="20% - Accent4 6 2 2 17 2" xfId="35774"/>
    <cellStyle name="20% - Accent4 6 2 2 18" xfId="13655"/>
    <cellStyle name="20% - Accent4 6 2 2 18 2" xfId="36430"/>
    <cellStyle name="20% - Accent4 6 2 2 19" xfId="14311"/>
    <cellStyle name="20% - Accent4 6 2 2 19 2" xfId="37086"/>
    <cellStyle name="20% - Accent4 6 2 2 2" xfId="1519"/>
    <cellStyle name="20% - Accent4 6 2 2 2 2" xfId="3815"/>
    <cellStyle name="20% - Accent4 6 2 2 2 2 2" xfId="26590"/>
    <cellStyle name="20% - Accent4 6 2 2 2 3" xfId="24294"/>
    <cellStyle name="20% - Accent4 6 2 2 20" xfId="14967"/>
    <cellStyle name="20% - Accent4 6 2 2 20 2" xfId="37742"/>
    <cellStyle name="20% - Accent4 6 2 2 21" xfId="15623"/>
    <cellStyle name="20% - Accent4 6 2 2 21 2" xfId="38398"/>
    <cellStyle name="20% - Accent4 6 2 2 22" xfId="16279"/>
    <cellStyle name="20% - Accent4 6 2 2 22 2" xfId="39054"/>
    <cellStyle name="20% - Accent4 6 2 2 23" xfId="16935"/>
    <cellStyle name="20% - Accent4 6 2 2 23 2" xfId="39710"/>
    <cellStyle name="20% - Accent4 6 2 2 24" xfId="17591"/>
    <cellStyle name="20% - Accent4 6 2 2 24 2" xfId="40366"/>
    <cellStyle name="20% - Accent4 6 2 2 25" xfId="18247"/>
    <cellStyle name="20% - Accent4 6 2 2 25 2" xfId="41022"/>
    <cellStyle name="20% - Accent4 6 2 2 26" xfId="18903"/>
    <cellStyle name="20% - Accent4 6 2 2 26 2" xfId="41678"/>
    <cellStyle name="20% - Accent4 6 2 2 27" xfId="19559"/>
    <cellStyle name="20% - Accent4 6 2 2 27 2" xfId="42334"/>
    <cellStyle name="20% - Accent4 6 2 2 28" xfId="20215"/>
    <cellStyle name="20% - Accent4 6 2 2 28 2" xfId="42990"/>
    <cellStyle name="20% - Accent4 6 2 2 29" xfId="20871"/>
    <cellStyle name="20% - Accent4 6 2 2 29 2" xfId="43646"/>
    <cellStyle name="20% - Accent4 6 2 2 3" xfId="2175"/>
    <cellStyle name="20% - Accent4 6 2 2 3 2" xfId="4471"/>
    <cellStyle name="20% - Accent4 6 2 2 3 2 2" xfId="27246"/>
    <cellStyle name="20% - Accent4 6 2 2 3 3" xfId="24950"/>
    <cellStyle name="20% - Accent4 6 2 2 30" xfId="21527"/>
    <cellStyle name="20% - Accent4 6 2 2 30 2" xfId="44302"/>
    <cellStyle name="20% - Accent4 6 2 2 31" xfId="22183"/>
    <cellStyle name="20% - Accent4 6 2 2 31 2" xfId="44958"/>
    <cellStyle name="20% - Accent4 6 2 2 32" xfId="22839"/>
    <cellStyle name="20% - Accent4 6 2 2 32 2" xfId="45614"/>
    <cellStyle name="20% - Accent4 6 2 2 33" xfId="23638"/>
    <cellStyle name="20% - Accent4 6 2 2 4" xfId="5127"/>
    <cellStyle name="20% - Accent4 6 2 2 4 2" xfId="27902"/>
    <cellStyle name="20% - Accent4 6 2 2 5" xfId="5783"/>
    <cellStyle name="20% - Accent4 6 2 2 5 2" xfId="28558"/>
    <cellStyle name="20% - Accent4 6 2 2 6" xfId="6439"/>
    <cellStyle name="20% - Accent4 6 2 2 6 2" xfId="29214"/>
    <cellStyle name="20% - Accent4 6 2 2 7" xfId="3159"/>
    <cellStyle name="20% - Accent4 6 2 2 7 2" xfId="25934"/>
    <cellStyle name="20% - Accent4 6 2 2 8" xfId="7095"/>
    <cellStyle name="20% - Accent4 6 2 2 8 2" xfId="29870"/>
    <cellStyle name="20% - Accent4 6 2 2 9" xfId="7751"/>
    <cellStyle name="20% - Accent4 6 2 2 9 2" xfId="30526"/>
    <cellStyle name="20% - Accent4 6 2 20" xfId="13327"/>
    <cellStyle name="20% - Accent4 6 2 20 2" xfId="36102"/>
    <cellStyle name="20% - Accent4 6 2 21" xfId="13983"/>
    <cellStyle name="20% - Accent4 6 2 21 2" xfId="36758"/>
    <cellStyle name="20% - Accent4 6 2 22" xfId="14639"/>
    <cellStyle name="20% - Accent4 6 2 22 2" xfId="37414"/>
    <cellStyle name="20% - Accent4 6 2 23" xfId="15295"/>
    <cellStyle name="20% - Accent4 6 2 23 2" xfId="38070"/>
    <cellStyle name="20% - Accent4 6 2 24" xfId="15951"/>
    <cellStyle name="20% - Accent4 6 2 24 2" xfId="38726"/>
    <cellStyle name="20% - Accent4 6 2 25" xfId="16607"/>
    <cellStyle name="20% - Accent4 6 2 25 2" xfId="39382"/>
    <cellStyle name="20% - Accent4 6 2 26" xfId="17263"/>
    <cellStyle name="20% - Accent4 6 2 26 2" xfId="40038"/>
    <cellStyle name="20% - Accent4 6 2 27" xfId="17919"/>
    <cellStyle name="20% - Accent4 6 2 27 2" xfId="40694"/>
    <cellStyle name="20% - Accent4 6 2 28" xfId="18575"/>
    <cellStyle name="20% - Accent4 6 2 28 2" xfId="41350"/>
    <cellStyle name="20% - Accent4 6 2 29" xfId="19231"/>
    <cellStyle name="20% - Accent4 6 2 29 2" xfId="42006"/>
    <cellStyle name="20% - Accent4 6 2 3" xfId="1191"/>
    <cellStyle name="20% - Accent4 6 2 3 2" xfId="2831"/>
    <cellStyle name="20% - Accent4 6 2 3 2 2" xfId="25606"/>
    <cellStyle name="20% - Accent4 6 2 3 3" xfId="23966"/>
    <cellStyle name="20% - Accent4 6 2 30" xfId="19887"/>
    <cellStyle name="20% - Accent4 6 2 30 2" xfId="42662"/>
    <cellStyle name="20% - Accent4 6 2 31" xfId="20543"/>
    <cellStyle name="20% - Accent4 6 2 31 2" xfId="43318"/>
    <cellStyle name="20% - Accent4 6 2 32" xfId="21199"/>
    <cellStyle name="20% - Accent4 6 2 32 2" xfId="43974"/>
    <cellStyle name="20% - Accent4 6 2 33" xfId="21855"/>
    <cellStyle name="20% - Accent4 6 2 33 2" xfId="44630"/>
    <cellStyle name="20% - Accent4 6 2 34" xfId="22511"/>
    <cellStyle name="20% - Accent4 6 2 34 2" xfId="45286"/>
    <cellStyle name="20% - Accent4 6 2 35" xfId="23310"/>
    <cellStyle name="20% - Accent4 6 2 4" xfId="1847"/>
    <cellStyle name="20% - Accent4 6 2 4 2" xfId="3487"/>
    <cellStyle name="20% - Accent4 6 2 4 2 2" xfId="26262"/>
    <cellStyle name="20% - Accent4 6 2 4 3" xfId="24622"/>
    <cellStyle name="20% - Accent4 6 2 5" xfId="4143"/>
    <cellStyle name="20% - Accent4 6 2 5 2" xfId="26918"/>
    <cellStyle name="20% - Accent4 6 2 6" xfId="4799"/>
    <cellStyle name="20% - Accent4 6 2 6 2" xfId="27574"/>
    <cellStyle name="20% - Accent4 6 2 7" xfId="5455"/>
    <cellStyle name="20% - Accent4 6 2 7 2" xfId="28230"/>
    <cellStyle name="20% - Accent4 6 2 8" xfId="6111"/>
    <cellStyle name="20% - Accent4 6 2 8 2" xfId="28886"/>
    <cellStyle name="20% - Accent4 6 2 9" xfId="2503"/>
    <cellStyle name="20% - Accent4 6 2 9 2" xfId="25278"/>
    <cellStyle name="20% - Accent4 6 20" xfId="12486"/>
    <cellStyle name="20% - Accent4 6 20 2" xfId="35261"/>
    <cellStyle name="20% - Accent4 6 21" xfId="13142"/>
    <cellStyle name="20% - Accent4 6 21 2" xfId="35917"/>
    <cellStyle name="20% - Accent4 6 22" xfId="13798"/>
    <cellStyle name="20% - Accent4 6 22 2" xfId="36573"/>
    <cellStyle name="20% - Accent4 6 23" xfId="14454"/>
    <cellStyle name="20% - Accent4 6 23 2" xfId="37229"/>
    <cellStyle name="20% - Accent4 6 24" xfId="15110"/>
    <cellStyle name="20% - Accent4 6 24 2" xfId="37885"/>
    <cellStyle name="20% - Accent4 6 25" xfId="15766"/>
    <cellStyle name="20% - Accent4 6 25 2" xfId="38541"/>
    <cellStyle name="20% - Accent4 6 26" xfId="16422"/>
    <cellStyle name="20% - Accent4 6 26 2" xfId="39197"/>
    <cellStyle name="20% - Accent4 6 27" xfId="17078"/>
    <cellStyle name="20% - Accent4 6 27 2" xfId="39853"/>
    <cellStyle name="20% - Accent4 6 28" xfId="17734"/>
    <cellStyle name="20% - Accent4 6 28 2" xfId="40509"/>
    <cellStyle name="20% - Accent4 6 29" xfId="18390"/>
    <cellStyle name="20% - Accent4 6 29 2" xfId="41165"/>
    <cellStyle name="20% - Accent4 6 3" xfId="678"/>
    <cellStyle name="20% - Accent4 6 3 10" xfId="8222"/>
    <cellStyle name="20% - Accent4 6 3 10 2" xfId="30997"/>
    <cellStyle name="20% - Accent4 6 3 11" xfId="8878"/>
    <cellStyle name="20% - Accent4 6 3 11 2" xfId="31653"/>
    <cellStyle name="20% - Accent4 6 3 12" xfId="9534"/>
    <cellStyle name="20% - Accent4 6 3 12 2" xfId="32309"/>
    <cellStyle name="20% - Accent4 6 3 13" xfId="10190"/>
    <cellStyle name="20% - Accent4 6 3 13 2" xfId="32965"/>
    <cellStyle name="20% - Accent4 6 3 14" xfId="10846"/>
    <cellStyle name="20% - Accent4 6 3 14 2" xfId="33621"/>
    <cellStyle name="20% - Accent4 6 3 15" xfId="11502"/>
    <cellStyle name="20% - Accent4 6 3 15 2" xfId="34277"/>
    <cellStyle name="20% - Accent4 6 3 16" xfId="12158"/>
    <cellStyle name="20% - Accent4 6 3 16 2" xfId="34933"/>
    <cellStyle name="20% - Accent4 6 3 17" xfId="12814"/>
    <cellStyle name="20% - Accent4 6 3 17 2" xfId="35589"/>
    <cellStyle name="20% - Accent4 6 3 18" xfId="13470"/>
    <cellStyle name="20% - Accent4 6 3 18 2" xfId="36245"/>
    <cellStyle name="20% - Accent4 6 3 19" xfId="14126"/>
    <cellStyle name="20% - Accent4 6 3 19 2" xfId="36901"/>
    <cellStyle name="20% - Accent4 6 3 2" xfId="1334"/>
    <cellStyle name="20% - Accent4 6 3 2 2" xfId="3630"/>
    <cellStyle name="20% - Accent4 6 3 2 2 2" xfId="26405"/>
    <cellStyle name="20% - Accent4 6 3 2 3" xfId="24109"/>
    <cellStyle name="20% - Accent4 6 3 20" xfId="14782"/>
    <cellStyle name="20% - Accent4 6 3 20 2" xfId="37557"/>
    <cellStyle name="20% - Accent4 6 3 21" xfId="15438"/>
    <cellStyle name="20% - Accent4 6 3 21 2" xfId="38213"/>
    <cellStyle name="20% - Accent4 6 3 22" xfId="16094"/>
    <cellStyle name="20% - Accent4 6 3 22 2" xfId="38869"/>
    <cellStyle name="20% - Accent4 6 3 23" xfId="16750"/>
    <cellStyle name="20% - Accent4 6 3 23 2" xfId="39525"/>
    <cellStyle name="20% - Accent4 6 3 24" xfId="17406"/>
    <cellStyle name="20% - Accent4 6 3 24 2" xfId="40181"/>
    <cellStyle name="20% - Accent4 6 3 25" xfId="18062"/>
    <cellStyle name="20% - Accent4 6 3 25 2" xfId="40837"/>
    <cellStyle name="20% - Accent4 6 3 26" xfId="18718"/>
    <cellStyle name="20% - Accent4 6 3 26 2" xfId="41493"/>
    <cellStyle name="20% - Accent4 6 3 27" xfId="19374"/>
    <cellStyle name="20% - Accent4 6 3 27 2" xfId="42149"/>
    <cellStyle name="20% - Accent4 6 3 28" xfId="20030"/>
    <cellStyle name="20% - Accent4 6 3 28 2" xfId="42805"/>
    <cellStyle name="20% - Accent4 6 3 29" xfId="20686"/>
    <cellStyle name="20% - Accent4 6 3 29 2" xfId="43461"/>
    <cellStyle name="20% - Accent4 6 3 3" xfId="1990"/>
    <cellStyle name="20% - Accent4 6 3 3 2" xfId="4286"/>
    <cellStyle name="20% - Accent4 6 3 3 2 2" xfId="27061"/>
    <cellStyle name="20% - Accent4 6 3 3 3" xfId="24765"/>
    <cellStyle name="20% - Accent4 6 3 30" xfId="21342"/>
    <cellStyle name="20% - Accent4 6 3 30 2" xfId="44117"/>
    <cellStyle name="20% - Accent4 6 3 31" xfId="21998"/>
    <cellStyle name="20% - Accent4 6 3 31 2" xfId="44773"/>
    <cellStyle name="20% - Accent4 6 3 32" xfId="22654"/>
    <cellStyle name="20% - Accent4 6 3 32 2" xfId="45429"/>
    <cellStyle name="20% - Accent4 6 3 33" xfId="23453"/>
    <cellStyle name="20% - Accent4 6 3 4" xfId="4942"/>
    <cellStyle name="20% - Accent4 6 3 4 2" xfId="27717"/>
    <cellStyle name="20% - Accent4 6 3 5" xfId="5598"/>
    <cellStyle name="20% - Accent4 6 3 5 2" xfId="28373"/>
    <cellStyle name="20% - Accent4 6 3 6" xfId="6254"/>
    <cellStyle name="20% - Accent4 6 3 6 2" xfId="29029"/>
    <cellStyle name="20% - Accent4 6 3 7" xfId="2974"/>
    <cellStyle name="20% - Accent4 6 3 7 2" xfId="25749"/>
    <cellStyle name="20% - Accent4 6 3 8" xfId="6910"/>
    <cellStyle name="20% - Accent4 6 3 8 2" xfId="29685"/>
    <cellStyle name="20% - Accent4 6 3 9" xfId="7566"/>
    <cellStyle name="20% - Accent4 6 3 9 2" xfId="30341"/>
    <cellStyle name="20% - Accent4 6 30" xfId="19046"/>
    <cellStyle name="20% - Accent4 6 30 2" xfId="41821"/>
    <cellStyle name="20% - Accent4 6 31" xfId="19702"/>
    <cellStyle name="20% - Accent4 6 31 2" xfId="42477"/>
    <cellStyle name="20% - Accent4 6 32" xfId="20358"/>
    <cellStyle name="20% - Accent4 6 32 2" xfId="43133"/>
    <cellStyle name="20% - Accent4 6 33" xfId="21014"/>
    <cellStyle name="20% - Accent4 6 33 2" xfId="43789"/>
    <cellStyle name="20% - Accent4 6 34" xfId="21670"/>
    <cellStyle name="20% - Accent4 6 34 2" xfId="44445"/>
    <cellStyle name="20% - Accent4 6 35" xfId="22326"/>
    <cellStyle name="20% - Accent4 6 35 2" xfId="45101"/>
    <cellStyle name="20% - Accent4 6 36" xfId="265"/>
    <cellStyle name="20% - Accent4 6 37" xfId="22982"/>
    <cellStyle name="20% - Accent4 6 4" xfId="351"/>
    <cellStyle name="20% - Accent4 6 4 2" xfId="2646"/>
    <cellStyle name="20% - Accent4 6 4 2 2" xfId="25421"/>
    <cellStyle name="20% - Accent4 6 4 3" xfId="23125"/>
    <cellStyle name="20% - Accent4 6 5" xfId="1006"/>
    <cellStyle name="20% - Accent4 6 5 2" xfId="3302"/>
    <cellStyle name="20% - Accent4 6 5 2 2" xfId="26077"/>
    <cellStyle name="20% - Accent4 6 5 3" xfId="23781"/>
    <cellStyle name="20% - Accent4 6 6" xfId="1662"/>
    <cellStyle name="20% - Accent4 6 6 2" xfId="3958"/>
    <cellStyle name="20% - Accent4 6 6 2 2" xfId="26733"/>
    <cellStyle name="20% - Accent4 6 6 3" xfId="24437"/>
    <cellStyle name="20% - Accent4 6 7" xfId="4614"/>
    <cellStyle name="20% - Accent4 6 7 2" xfId="27389"/>
    <cellStyle name="20% - Accent4 6 8" xfId="5270"/>
    <cellStyle name="20% - Accent4 6 8 2" xfId="28045"/>
    <cellStyle name="20% - Accent4 6 9" xfId="5926"/>
    <cellStyle name="20% - Accent4 6 9 2" xfId="28701"/>
    <cellStyle name="20% - Accent4 7" xfId="424"/>
    <cellStyle name="20% - Accent4 7 10" xfId="6655"/>
    <cellStyle name="20% - Accent4 7 10 2" xfId="29430"/>
    <cellStyle name="20% - Accent4 7 11" xfId="7311"/>
    <cellStyle name="20% - Accent4 7 11 2" xfId="30086"/>
    <cellStyle name="20% - Accent4 7 12" xfId="7967"/>
    <cellStyle name="20% - Accent4 7 12 2" xfId="30742"/>
    <cellStyle name="20% - Accent4 7 13" xfId="8623"/>
    <cellStyle name="20% - Accent4 7 13 2" xfId="31398"/>
    <cellStyle name="20% - Accent4 7 14" xfId="9279"/>
    <cellStyle name="20% - Accent4 7 14 2" xfId="32054"/>
    <cellStyle name="20% - Accent4 7 15" xfId="9935"/>
    <cellStyle name="20% - Accent4 7 15 2" xfId="32710"/>
    <cellStyle name="20% - Accent4 7 16" xfId="10591"/>
    <cellStyle name="20% - Accent4 7 16 2" xfId="33366"/>
    <cellStyle name="20% - Accent4 7 17" xfId="11247"/>
    <cellStyle name="20% - Accent4 7 17 2" xfId="34022"/>
    <cellStyle name="20% - Accent4 7 18" xfId="11903"/>
    <cellStyle name="20% - Accent4 7 18 2" xfId="34678"/>
    <cellStyle name="20% - Accent4 7 19" xfId="12559"/>
    <cellStyle name="20% - Accent4 7 19 2" xfId="35334"/>
    <cellStyle name="20% - Accent4 7 2" xfId="751"/>
    <cellStyle name="20% - Accent4 7 2 10" xfId="8295"/>
    <cellStyle name="20% - Accent4 7 2 10 2" xfId="31070"/>
    <cellStyle name="20% - Accent4 7 2 11" xfId="8951"/>
    <cellStyle name="20% - Accent4 7 2 11 2" xfId="31726"/>
    <cellStyle name="20% - Accent4 7 2 12" xfId="9607"/>
    <cellStyle name="20% - Accent4 7 2 12 2" xfId="32382"/>
    <cellStyle name="20% - Accent4 7 2 13" xfId="10263"/>
    <cellStyle name="20% - Accent4 7 2 13 2" xfId="33038"/>
    <cellStyle name="20% - Accent4 7 2 14" xfId="10919"/>
    <cellStyle name="20% - Accent4 7 2 14 2" xfId="33694"/>
    <cellStyle name="20% - Accent4 7 2 15" xfId="11575"/>
    <cellStyle name="20% - Accent4 7 2 15 2" xfId="34350"/>
    <cellStyle name="20% - Accent4 7 2 16" xfId="12231"/>
    <cellStyle name="20% - Accent4 7 2 16 2" xfId="35006"/>
    <cellStyle name="20% - Accent4 7 2 17" xfId="12887"/>
    <cellStyle name="20% - Accent4 7 2 17 2" xfId="35662"/>
    <cellStyle name="20% - Accent4 7 2 18" xfId="13543"/>
    <cellStyle name="20% - Accent4 7 2 18 2" xfId="36318"/>
    <cellStyle name="20% - Accent4 7 2 19" xfId="14199"/>
    <cellStyle name="20% - Accent4 7 2 19 2" xfId="36974"/>
    <cellStyle name="20% - Accent4 7 2 2" xfId="1407"/>
    <cellStyle name="20% - Accent4 7 2 2 2" xfId="3703"/>
    <cellStyle name="20% - Accent4 7 2 2 2 2" xfId="26478"/>
    <cellStyle name="20% - Accent4 7 2 2 3" xfId="24182"/>
    <cellStyle name="20% - Accent4 7 2 20" xfId="14855"/>
    <cellStyle name="20% - Accent4 7 2 20 2" xfId="37630"/>
    <cellStyle name="20% - Accent4 7 2 21" xfId="15511"/>
    <cellStyle name="20% - Accent4 7 2 21 2" xfId="38286"/>
    <cellStyle name="20% - Accent4 7 2 22" xfId="16167"/>
    <cellStyle name="20% - Accent4 7 2 22 2" xfId="38942"/>
    <cellStyle name="20% - Accent4 7 2 23" xfId="16823"/>
    <cellStyle name="20% - Accent4 7 2 23 2" xfId="39598"/>
    <cellStyle name="20% - Accent4 7 2 24" xfId="17479"/>
    <cellStyle name="20% - Accent4 7 2 24 2" xfId="40254"/>
    <cellStyle name="20% - Accent4 7 2 25" xfId="18135"/>
    <cellStyle name="20% - Accent4 7 2 25 2" xfId="40910"/>
    <cellStyle name="20% - Accent4 7 2 26" xfId="18791"/>
    <cellStyle name="20% - Accent4 7 2 26 2" xfId="41566"/>
    <cellStyle name="20% - Accent4 7 2 27" xfId="19447"/>
    <cellStyle name="20% - Accent4 7 2 27 2" xfId="42222"/>
    <cellStyle name="20% - Accent4 7 2 28" xfId="20103"/>
    <cellStyle name="20% - Accent4 7 2 28 2" xfId="42878"/>
    <cellStyle name="20% - Accent4 7 2 29" xfId="20759"/>
    <cellStyle name="20% - Accent4 7 2 29 2" xfId="43534"/>
    <cellStyle name="20% - Accent4 7 2 3" xfId="2063"/>
    <cellStyle name="20% - Accent4 7 2 3 2" xfId="4359"/>
    <cellStyle name="20% - Accent4 7 2 3 2 2" xfId="27134"/>
    <cellStyle name="20% - Accent4 7 2 3 3" xfId="24838"/>
    <cellStyle name="20% - Accent4 7 2 30" xfId="21415"/>
    <cellStyle name="20% - Accent4 7 2 30 2" xfId="44190"/>
    <cellStyle name="20% - Accent4 7 2 31" xfId="22071"/>
    <cellStyle name="20% - Accent4 7 2 31 2" xfId="44846"/>
    <cellStyle name="20% - Accent4 7 2 32" xfId="22727"/>
    <cellStyle name="20% - Accent4 7 2 32 2" xfId="45502"/>
    <cellStyle name="20% - Accent4 7 2 33" xfId="23526"/>
    <cellStyle name="20% - Accent4 7 2 4" xfId="5015"/>
    <cellStyle name="20% - Accent4 7 2 4 2" xfId="27790"/>
    <cellStyle name="20% - Accent4 7 2 5" xfId="5671"/>
    <cellStyle name="20% - Accent4 7 2 5 2" xfId="28446"/>
    <cellStyle name="20% - Accent4 7 2 6" xfId="6327"/>
    <cellStyle name="20% - Accent4 7 2 6 2" xfId="29102"/>
    <cellStyle name="20% - Accent4 7 2 7" xfId="3047"/>
    <cellStyle name="20% - Accent4 7 2 7 2" xfId="25822"/>
    <cellStyle name="20% - Accent4 7 2 8" xfId="6983"/>
    <cellStyle name="20% - Accent4 7 2 8 2" xfId="29758"/>
    <cellStyle name="20% - Accent4 7 2 9" xfId="7639"/>
    <cellStyle name="20% - Accent4 7 2 9 2" xfId="30414"/>
    <cellStyle name="20% - Accent4 7 20" xfId="13215"/>
    <cellStyle name="20% - Accent4 7 20 2" xfId="35990"/>
    <cellStyle name="20% - Accent4 7 21" xfId="13871"/>
    <cellStyle name="20% - Accent4 7 21 2" xfId="36646"/>
    <cellStyle name="20% - Accent4 7 22" xfId="14527"/>
    <cellStyle name="20% - Accent4 7 22 2" xfId="37302"/>
    <cellStyle name="20% - Accent4 7 23" xfId="15183"/>
    <cellStyle name="20% - Accent4 7 23 2" xfId="37958"/>
    <cellStyle name="20% - Accent4 7 24" xfId="15839"/>
    <cellStyle name="20% - Accent4 7 24 2" xfId="38614"/>
    <cellStyle name="20% - Accent4 7 25" xfId="16495"/>
    <cellStyle name="20% - Accent4 7 25 2" xfId="39270"/>
    <cellStyle name="20% - Accent4 7 26" xfId="17151"/>
    <cellStyle name="20% - Accent4 7 26 2" xfId="39926"/>
    <cellStyle name="20% - Accent4 7 27" xfId="17807"/>
    <cellStyle name="20% - Accent4 7 27 2" xfId="40582"/>
    <cellStyle name="20% - Accent4 7 28" xfId="18463"/>
    <cellStyle name="20% - Accent4 7 28 2" xfId="41238"/>
    <cellStyle name="20% - Accent4 7 29" xfId="19119"/>
    <cellStyle name="20% - Accent4 7 29 2" xfId="41894"/>
    <cellStyle name="20% - Accent4 7 3" xfId="1079"/>
    <cellStyle name="20% - Accent4 7 3 2" xfId="2719"/>
    <cellStyle name="20% - Accent4 7 3 2 2" xfId="25494"/>
    <cellStyle name="20% - Accent4 7 3 3" xfId="23854"/>
    <cellStyle name="20% - Accent4 7 30" xfId="19775"/>
    <cellStyle name="20% - Accent4 7 30 2" xfId="42550"/>
    <cellStyle name="20% - Accent4 7 31" xfId="20431"/>
    <cellStyle name="20% - Accent4 7 31 2" xfId="43206"/>
    <cellStyle name="20% - Accent4 7 32" xfId="21087"/>
    <cellStyle name="20% - Accent4 7 32 2" xfId="43862"/>
    <cellStyle name="20% - Accent4 7 33" xfId="21743"/>
    <cellStyle name="20% - Accent4 7 33 2" xfId="44518"/>
    <cellStyle name="20% - Accent4 7 34" xfId="22399"/>
    <cellStyle name="20% - Accent4 7 34 2" xfId="45174"/>
    <cellStyle name="20% - Accent4 7 35" xfId="23198"/>
    <cellStyle name="20% - Accent4 7 4" xfId="1735"/>
    <cellStyle name="20% - Accent4 7 4 2" xfId="3375"/>
    <cellStyle name="20% - Accent4 7 4 2 2" xfId="26150"/>
    <cellStyle name="20% - Accent4 7 4 3" xfId="24510"/>
    <cellStyle name="20% - Accent4 7 5" xfId="4031"/>
    <cellStyle name="20% - Accent4 7 5 2" xfId="26806"/>
    <cellStyle name="20% - Accent4 7 6" xfId="4687"/>
    <cellStyle name="20% - Accent4 7 6 2" xfId="27462"/>
    <cellStyle name="20% - Accent4 7 7" xfId="5343"/>
    <cellStyle name="20% - Accent4 7 7 2" xfId="28118"/>
    <cellStyle name="20% - Accent4 7 8" xfId="5999"/>
    <cellStyle name="20% - Accent4 7 8 2" xfId="28774"/>
    <cellStyle name="20% - Accent4 7 9" xfId="2391"/>
    <cellStyle name="20% - Accent4 7 9 2" xfId="25166"/>
    <cellStyle name="20% - Accent4 8" xfId="438"/>
    <cellStyle name="20% - Accent4 8 10" xfId="6669"/>
    <cellStyle name="20% - Accent4 8 10 2" xfId="29444"/>
    <cellStyle name="20% - Accent4 8 11" xfId="7325"/>
    <cellStyle name="20% - Accent4 8 11 2" xfId="30100"/>
    <cellStyle name="20% - Accent4 8 12" xfId="7981"/>
    <cellStyle name="20% - Accent4 8 12 2" xfId="30756"/>
    <cellStyle name="20% - Accent4 8 13" xfId="8637"/>
    <cellStyle name="20% - Accent4 8 13 2" xfId="31412"/>
    <cellStyle name="20% - Accent4 8 14" xfId="9293"/>
    <cellStyle name="20% - Accent4 8 14 2" xfId="32068"/>
    <cellStyle name="20% - Accent4 8 15" xfId="9949"/>
    <cellStyle name="20% - Accent4 8 15 2" xfId="32724"/>
    <cellStyle name="20% - Accent4 8 16" xfId="10605"/>
    <cellStyle name="20% - Accent4 8 16 2" xfId="33380"/>
    <cellStyle name="20% - Accent4 8 17" xfId="11261"/>
    <cellStyle name="20% - Accent4 8 17 2" xfId="34036"/>
    <cellStyle name="20% - Accent4 8 18" xfId="11917"/>
    <cellStyle name="20% - Accent4 8 18 2" xfId="34692"/>
    <cellStyle name="20% - Accent4 8 19" xfId="12573"/>
    <cellStyle name="20% - Accent4 8 19 2" xfId="35348"/>
    <cellStyle name="20% - Accent4 8 2" xfId="765"/>
    <cellStyle name="20% - Accent4 8 2 10" xfId="8309"/>
    <cellStyle name="20% - Accent4 8 2 10 2" xfId="31084"/>
    <cellStyle name="20% - Accent4 8 2 11" xfId="8965"/>
    <cellStyle name="20% - Accent4 8 2 11 2" xfId="31740"/>
    <cellStyle name="20% - Accent4 8 2 12" xfId="9621"/>
    <cellStyle name="20% - Accent4 8 2 12 2" xfId="32396"/>
    <cellStyle name="20% - Accent4 8 2 13" xfId="10277"/>
    <cellStyle name="20% - Accent4 8 2 13 2" xfId="33052"/>
    <cellStyle name="20% - Accent4 8 2 14" xfId="10933"/>
    <cellStyle name="20% - Accent4 8 2 14 2" xfId="33708"/>
    <cellStyle name="20% - Accent4 8 2 15" xfId="11589"/>
    <cellStyle name="20% - Accent4 8 2 15 2" xfId="34364"/>
    <cellStyle name="20% - Accent4 8 2 16" xfId="12245"/>
    <cellStyle name="20% - Accent4 8 2 16 2" xfId="35020"/>
    <cellStyle name="20% - Accent4 8 2 17" xfId="12901"/>
    <cellStyle name="20% - Accent4 8 2 17 2" xfId="35676"/>
    <cellStyle name="20% - Accent4 8 2 18" xfId="13557"/>
    <cellStyle name="20% - Accent4 8 2 18 2" xfId="36332"/>
    <cellStyle name="20% - Accent4 8 2 19" xfId="14213"/>
    <cellStyle name="20% - Accent4 8 2 19 2" xfId="36988"/>
    <cellStyle name="20% - Accent4 8 2 2" xfId="1421"/>
    <cellStyle name="20% - Accent4 8 2 2 2" xfId="3717"/>
    <cellStyle name="20% - Accent4 8 2 2 2 2" xfId="26492"/>
    <cellStyle name="20% - Accent4 8 2 2 3" xfId="24196"/>
    <cellStyle name="20% - Accent4 8 2 20" xfId="14869"/>
    <cellStyle name="20% - Accent4 8 2 20 2" xfId="37644"/>
    <cellStyle name="20% - Accent4 8 2 21" xfId="15525"/>
    <cellStyle name="20% - Accent4 8 2 21 2" xfId="38300"/>
    <cellStyle name="20% - Accent4 8 2 22" xfId="16181"/>
    <cellStyle name="20% - Accent4 8 2 22 2" xfId="38956"/>
    <cellStyle name="20% - Accent4 8 2 23" xfId="16837"/>
    <cellStyle name="20% - Accent4 8 2 23 2" xfId="39612"/>
    <cellStyle name="20% - Accent4 8 2 24" xfId="17493"/>
    <cellStyle name="20% - Accent4 8 2 24 2" xfId="40268"/>
    <cellStyle name="20% - Accent4 8 2 25" xfId="18149"/>
    <cellStyle name="20% - Accent4 8 2 25 2" xfId="40924"/>
    <cellStyle name="20% - Accent4 8 2 26" xfId="18805"/>
    <cellStyle name="20% - Accent4 8 2 26 2" xfId="41580"/>
    <cellStyle name="20% - Accent4 8 2 27" xfId="19461"/>
    <cellStyle name="20% - Accent4 8 2 27 2" xfId="42236"/>
    <cellStyle name="20% - Accent4 8 2 28" xfId="20117"/>
    <cellStyle name="20% - Accent4 8 2 28 2" xfId="42892"/>
    <cellStyle name="20% - Accent4 8 2 29" xfId="20773"/>
    <cellStyle name="20% - Accent4 8 2 29 2" xfId="43548"/>
    <cellStyle name="20% - Accent4 8 2 3" xfId="2077"/>
    <cellStyle name="20% - Accent4 8 2 3 2" xfId="4373"/>
    <cellStyle name="20% - Accent4 8 2 3 2 2" xfId="27148"/>
    <cellStyle name="20% - Accent4 8 2 3 3" xfId="24852"/>
    <cellStyle name="20% - Accent4 8 2 30" xfId="21429"/>
    <cellStyle name="20% - Accent4 8 2 30 2" xfId="44204"/>
    <cellStyle name="20% - Accent4 8 2 31" xfId="22085"/>
    <cellStyle name="20% - Accent4 8 2 31 2" xfId="44860"/>
    <cellStyle name="20% - Accent4 8 2 32" xfId="22741"/>
    <cellStyle name="20% - Accent4 8 2 32 2" xfId="45516"/>
    <cellStyle name="20% - Accent4 8 2 33" xfId="23540"/>
    <cellStyle name="20% - Accent4 8 2 4" xfId="5029"/>
    <cellStyle name="20% - Accent4 8 2 4 2" xfId="27804"/>
    <cellStyle name="20% - Accent4 8 2 5" xfId="5685"/>
    <cellStyle name="20% - Accent4 8 2 5 2" xfId="28460"/>
    <cellStyle name="20% - Accent4 8 2 6" xfId="6341"/>
    <cellStyle name="20% - Accent4 8 2 6 2" xfId="29116"/>
    <cellStyle name="20% - Accent4 8 2 7" xfId="3061"/>
    <cellStyle name="20% - Accent4 8 2 7 2" xfId="25836"/>
    <cellStyle name="20% - Accent4 8 2 8" xfId="6997"/>
    <cellStyle name="20% - Accent4 8 2 8 2" xfId="29772"/>
    <cellStyle name="20% - Accent4 8 2 9" xfId="7653"/>
    <cellStyle name="20% - Accent4 8 2 9 2" xfId="30428"/>
    <cellStyle name="20% - Accent4 8 20" xfId="13229"/>
    <cellStyle name="20% - Accent4 8 20 2" xfId="36004"/>
    <cellStyle name="20% - Accent4 8 21" xfId="13885"/>
    <cellStyle name="20% - Accent4 8 21 2" xfId="36660"/>
    <cellStyle name="20% - Accent4 8 22" xfId="14541"/>
    <cellStyle name="20% - Accent4 8 22 2" xfId="37316"/>
    <cellStyle name="20% - Accent4 8 23" xfId="15197"/>
    <cellStyle name="20% - Accent4 8 23 2" xfId="37972"/>
    <cellStyle name="20% - Accent4 8 24" xfId="15853"/>
    <cellStyle name="20% - Accent4 8 24 2" xfId="38628"/>
    <cellStyle name="20% - Accent4 8 25" xfId="16509"/>
    <cellStyle name="20% - Accent4 8 25 2" xfId="39284"/>
    <cellStyle name="20% - Accent4 8 26" xfId="17165"/>
    <cellStyle name="20% - Accent4 8 26 2" xfId="39940"/>
    <cellStyle name="20% - Accent4 8 27" xfId="17821"/>
    <cellStyle name="20% - Accent4 8 27 2" xfId="40596"/>
    <cellStyle name="20% - Accent4 8 28" xfId="18477"/>
    <cellStyle name="20% - Accent4 8 28 2" xfId="41252"/>
    <cellStyle name="20% - Accent4 8 29" xfId="19133"/>
    <cellStyle name="20% - Accent4 8 29 2" xfId="41908"/>
    <cellStyle name="20% - Accent4 8 3" xfId="1093"/>
    <cellStyle name="20% - Accent4 8 3 2" xfId="2733"/>
    <cellStyle name="20% - Accent4 8 3 2 2" xfId="25508"/>
    <cellStyle name="20% - Accent4 8 3 3" xfId="23868"/>
    <cellStyle name="20% - Accent4 8 30" xfId="19789"/>
    <cellStyle name="20% - Accent4 8 30 2" xfId="42564"/>
    <cellStyle name="20% - Accent4 8 31" xfId="20445"/>
    <cellStyle name="20% - Accent4 8 31 2" xfId="43220"/>
    <cellStyle name="20% - Accent4 8 32" xfId="21101"/>
    <cellStyle name="20% - Accent4 8 32 2" xfId="43876"/>
    <cellStyle name="20% - Accent4 8 33" xfId="21757"/>
    <cellStyle name="20% - Accent4 8 33 2" xfId="44532"/>
    <cellStyle name="20% - Accent4 8 34" xfId="22413"/>
    <cellStyle name="20% - Accent4 8 34 2" xfId="45188"/>
    <cellStyle name="20% - Accent4 8 35" xfId="23212"/>
    <cellStyle name="20% - Accent4 8 4" xfId="1749"/>
    <cellStyle name="20% - Accent4 8 4 2" xfId="3389"/>
    <cellStyle name="20% - Accent4 8 4 2 2" xfId="26164"/>
    <cellStyle name="20% - Accent4 8 4 3" xfId="24524"/>
    <cellStyle name="20% - Accent4 8 5" xfId="4045"/>
    <cellStyle name="20% - Accent4 8 5 2" xfId="26820"/>
    <cellStyle name="20% - Accent4 8 6" xfId="4701"/>
    <cellStyle name="20% - Accent4 8 6 2" xfId="27476"/>
    <cellStyle name="20% - Accent4 8 7" xfId="5357"/>
    <cellStyle name="20% - Accent4 8 7 2" xfId="28132"/>
    <cellStyle name="20% - Accent4 8 8" xfId="6013"/>
    <cellStyle name="20% - Accent4 8 8 2" xfId="28788"/>
    <cellStyle name="20% - Accent4 8 9" xfId="2405"/>
    <cellStyle name="20% - Accent4 8 9 2" xfId="25180"/>
    <cellStyle name="20% - Accent4 9" xfId="452"/>
    <cellStyle name="20% - Accent4 9 10" xfId="6683"/>
    <cellStyle name="20% - Accent4 9 10 2" xfId="29458"/>
    <cellStyle name="20% - Accent4 9 11" xfId="7339"/>
    <cellStyle name="20% - Accent4 9 11 2" xfId="30114"/>
    <cellStyle name="20% - Accent4 9 12" xfId="7995"/>
    <cellStyle name="20% - Accent4 9 12 2" xfId="30770"/>
    <cellStyle name="20% - Accent4 9 13" xfId="8651"/>
    <cellStyle name="20% - Accent4 9 13 2" xfId="31426"/>
    <cellStyle name="20% - Accent4 9 14" xfId="9307"/>
    <cellStyle name="20% - Accent4 9 14 2" xfId="32082"/>
    <cellStyle name="20% - Accent4 9 15" xfId="9963"/>
    <cellStyle name="20% - Accent4 9 15 2" xfId="32738"/>
    <cellStyle name="20% - Accent4 9 16" xfId="10619"/>
    <cellStyle name="20% - Accent4 9 16 2" xfId="33394"/>
    <cellStyle name="20% - Accent4 9 17" xfId="11275"/>
    <cellStyle name="20% - Accent4 9 17 2" xfId="34050"/>
    <cellStyle name="20% - Accent4 9 18" xfId="11931"/>
    <cellStyle name="20% - Accent4 9 18 2" xfId="34706"/>
    <cellStyle name="20% - Accent4 9 19" xfId="12587"/>
    <cellStyle name="20% - Accent4 9 19 2" xfId="35362"/>
    <cellStyle name="20% - Accent4 9 2" xfId="779"/>
    <cellStyle name="20% - Accent4 9 2 10" xfId="8323"/>
    <cellStyle name="20% - Accent4 9 2 10 2" xfId="31098"/>
    <cellStyle name="20% - Accent4 9 2 11" xfId="8979"/>
    <cellStyle name="20% - Accent4 9 2 11 2" xfId="31754"/>
    <cellStyle name="20% - Accent4 9 2 12" xfId="9635"/>
    <cellStyle name="20% - Accent4 9 2 12 2" xfId="32410"/>
    <cellStyle name="20% - Accent4 9 2 13" xfId="10291"/>
    <cellStyle name="20% - Accent4 9 2 13 2" xfId="33066"/>
    <cellStyle name="20% - Accent4 9 2 14" xfId="10947"/>
    <cellStyle name="20% - Accent4 9 2 14 2" xfId="33722"/>
    <cellStyle name="20% - Accent4 9 2 15" xfId="11603"/>
    <cellStyle name="20% - Accent4 9 2 15 2" xfId="34378"/>
    <cellStyle name="20% - Accent4 9 2 16" xfId="12259"/>
    <cellStyle name="20% - Accent4 9 2 16 2" xfId="35034"/>
    <cellStyle name="20% - Accent4 9 2 17" xfId="12915"/>
    <cellStyle name="20% - Accent4 9 2 17 2" xfId="35690"/>
    <cellStyle name="20% - Accent4 9 2 18" xfId="13571"/>
    <cellStyle name="20% - Accent4 9 2 18 2" xfId="36346"/>
    <cellStyle name="20% - Accent4 9 2 19" xfId="14227"/>
    <cellStyle name="20% - Accent4 9 2 19 2" xfId="37002"/>
    <cellStyle name="20% - Accent4 9 2 2" xfId="1435"/>
    <cellStyle name="20% - Accent4 9 2 2 2" xfId="3731"/>
    <cellStyle name="20% - Accent4 9 2 2 2 2" xfId="26506"/>
    <cellStyle name="20% - Accent4 9 2 2 3" xfId="24210"/>
    <cellStyle name="20% - Accent4 9 2 20" xfId="14883"/>
    <cellStyle name="20% - Accent4 9 2 20 2" xfId="37658"/>
    <cellStyle name="20% - Accent4 9 2 21" xfId="15539"/>
    <cellStyle name="20% - Accent4 9 2 21 2" xfId="38314"/>
    <cellStyle name="20% - Accent4 9 2 22" xfId="16195"/>
    <cellStyle name="20% - Accent4 9 2 22 2" xfId="38970"/>
    <cellStyle name="20% - Accent4 9 2 23" xfId="16851"/>
    <cellStyle name="20% - Accent4 9 2 23 2" xfId="39626"/>
    <cellStyle name="20% - Accent4 9 2 24" xfId="17507"/>
    <cellStyle name="20% - Accent4 9 2 24 2" xfId="40282"/>
    <cellStyle name="20% - Accent4 9 2 25" xfId="18163"/>
    <cellStyle name="20% - Accent4 9 2 25 2" xfId="40938"/>
    <cellStyle name="20% - Accent4 9 2 26" xfId="18819"/>
    <cellStyle name="20% - Accent4 9 2 26 2" xfId="41594"/>
    <cellStyle name="20% - Accent4 9 2 27" xfId="19475"/>
    <cellStyle name="20% - Accent4 9 2 27 2" xfId="42250"/>
    <cellStyle name="20% - Accent4 9 2 28" xfId="20131"/>
    <cellStyle name="20% - Accent4 9 2 28 2" xfId="42906"/>
    <cellStyle name="20% - Accent4 9 2 29" xfId="20787"/>
    <cellStyle name="20% - Accent4 9 2 29 2" xfId="43562"/>
    <cellStyle name="20% - Accent4 9 2 3" xfId="2091"/>
    <cellStyle name="20% - Accent4 9 2 3 2" xfId="4387"/>
    <cellStyle name="20% - Accent4 9 2 3 2 2" xfId="27162"/>
    <cellStyle name="20% - Accent4 9 2 3 3" xfId="24866"/>
    <cellStyle name="20% - Accent4 9 2 30" xfId="21443"/>
    <cellStyle name="20% - Accent4 9 2 30 2" xfId="44218"/>
    <cellStyle name="20% - Accent4 9 2 31" xfId="22099"/>
    <cellStyle name="20% - Accent4 9 2 31 2" xfId="44874"/>
    <cellStyle name="20% - Accent4 9 2 32" xfId="22755"/>
    <cellStyle name="20% - Accent4 9 2 32 2" xfId="45530"/>
    <cellStyle name="20% - Accent4 9 2 33" xfId="23554"/>
    <cellStyle name="20% - Accent4 9 2 4" xfId="5043"/>
    <cellStyle name="20% - Accent4 9 2 4 2" xfId="27818"/>
    <cellStyle name="20% - Accent4 9 2 5" xfId="5699"/>
    <cellStyle name="20% - Accent4 9 2 5 2" xfId="28474"/>
    <cellStyle name="20% - Accent4 9 2 6" xfId="6355"/>
    <cellStyle name="20% - Accent4 9 2 6 2" xfId="29130"/>
    <cellStyle name="20% - Accent4 9 2 7" xfId="3075"/>
    <cellStyle name="20% - Accent4 9 2 7 2" xfId="25850"/>
    <cellStyle name="20% - Accent4 9 2 8" xfId="7011"/>
    <cellStyle name="20% - Accent4 9 2 8 2" xfId="29786"/>
    <cellStyle name="20% - Accent4 9 2 9" xfId="7667"/>
    <cellStyle name="20% - Accent4 9 2 9 2" xfId="30442"/>
    <cellStyle name="20% - Accent4 9 20" xfId="13243"/>
    <cellStyle name="20% - Accent4 9 20 2" xfId="36018"/>
    <cellStyle name="20% - Accent4 9 21" xfId="13899"/>
    <cellStyle name="20% - Accent4 9 21 2" xfId="36674"/>
    <cellStyle name="20% - Accent4 9 22" xfId="14555"/>
    <cellStyle name="20% - Accent4 9 22 2" xfId="37330"/>
    <cellStyle name="20% - Accent4 9 23" xfId="15211"/>
    <cellStyle name="20% - Accent4 9 23 2" xfId="37986"/>
    <cellStyle name="20% - Accent4 9 24" xfId="15867"/>
    <cellStyle name="20% - Accent4 9 24 2" xfId="38642"/>
    <cellStyle name="20% - Accent4 9 25" xfId="16523"/>
    <cellStyle name="20% - Accent4 9 25 2" xfId="39298"/>
    <cellStyle name="20% - Accent4 9 26" xfId="17179"/>
    <cellStyle name="20% - Accent4 9 26 2" xfId="39954"/>
    <cellStyle name="20% - Accent4 9 27" xfId="17835"/>
    <cellStyle name="20% - Accent4 9 27 2" xfId="40610"/>
    <cellStyle name="20% - Accent4 9 28" xfId="18491"/>
    <cellStyle name="20% - Accent4 9 28 2" xfId="41266"/>
    <cellStyle name="20% - Accent4 9 29" xfId="19147"/>
    <cellStyle name="20% - Accent4 9 29 2" xfId="41922"/>
    <cellStyle name="20% - Accent4 9 3" xfId="1107"/>
    <cellStyle name="20% - Accent4 9 3 2" xfId="2747"/>
    <cellStyle name="20% - Accent4 9 3 2 2" xfId="25522"/>
    <cellStyle name="20% - Accent4 9 3 3" xfId="23882"/>
    <cellStyle name="20% - Accent4 9 30" xfId="19803"/>
    <cellStyle name="20% - Accent4 9 30 2" xfId="42578"/>
    <cellStyle name="20% - Accent4 9 31" xfId="20459"/>
    <cellStyle name="20% - Accent4 9 31 2" xfId="43234"/>
    <cellStyle name="20% - Accent4 9 32" xfId="21115"/>
    <cellStyle name="20% - Accent4 9 32 2" xfId="43890"/>
    <cellStyle name="20% - Accent4 9 33" xfId="21771"/>
    <cellStyle name="20% - Accent4 9 33 2" xfId="44546"/>
    <cellStyle name="20% - Accent4 9 34" xfId="22427"/>
    <cellStyle name="20% - Accent4 9 34 2" xfId="45202"/>
    <cellStyle name="20% - Accent4 9 35" xfId="23226"/>
    <cellStyle name="20% - Accent4 9 4" xfId="1763"/>
    <cellStyle name="20% - Accent4 9 4 2" xfId="3403"/>
    <cellStyle name="20% - Accent4 9 4 2 2" xfId="26178"/>
    <cellStyle name="20% - Accent4 9 4 3" xfId="24538"/>
    <cellStyle name="20% - Accent4 9 5" xfId="4059"/>
    <cellStyle name="20% - Accent4 9 5 2" xfId="26834"/>
    <cellStyle name="20% - Accent4 9 6" xfId="4715"/>
    <cellStyle name="20% - Accent4 9 6 2" xfId="27490"/>
    <cellStyle name="20% - Accent4 9 7" xfId="5371"/>
    <cellStyle name="20% - Accent4 9 7 2" xfId="28146"/>
    <cellStyle name="20% - Accent4 9 8" xfId="6027"/>
    <cellStyle name="20% - Accent4 9 8 2" xfId="28802"/>
    <cellStyle name="20% - Accent4 9 9" xfId="2419"/>
    <cellStyle name="20% - Accent4 9 9 2" xfId="25194"/>
    <cellStyle name="20% - Accent5" xfId="37" builtinId="46" customBuiltin="1"/>
    <cellStyle name="20% - Accent5 10" xfId="466"/>
    <cellStyle name="20% - Accent5 10 10" xfId="6697"/>
    <cellStyle name="20% - Accent5 10 10 2" xfId="29472"/>
    <cellStyle name="20% - Accent5 10 11" xfId="7353"/>
    <cellStyle name="20% - Accent5 10 11 2" xfId="30128"/>
    <cellStyle name="20% - Accent5 10 12" xfId="8009"/>
    <cellStyle name="20% - Accent5 10 12 2" xfId="30784"/>
    <cellStyle name="20% - Accent5 10 13" xfId="8665"/>
    <cellStyle name="20% - Accent5 10 13 2" xfId="31440"/>
    <cellStyle name="20% - Accent5 10 14" xfId="9321"/>
    <cellStyle name="20% - Accent5 10 14 2" xfId="32096"/>
    <cellStyle name="20% - Accent5 10 15" xfId="9977"/>
    <cellStyle name="20% - Accent5 10 15 2" xfId="32752"/>
    <cellStyle name="20% - Accent5 10 16" xfId="10633"/>
    <cellStyle name="20% - Accent5 10 16 2" xfId="33408"/>
    <cellStyle name="20% - Accent5 10 17" xfId="11289"/>
    <cellStyle name="20% - Accent5 10 17 2" xfId="34064"/>
    <cellStyle name="20% - Accent5 10 18" xfId="11945"/>
    <cellStyle name="20% - Accent5 10 18 2" xfId="34720"/>
    <cellStyle name="20% - Accent5 10 19" xfId="12601"/>
    <cellStyle name="20% - Accent5 10 19 2" xfId="35376"/>
    <cellStyle name="20% - Accent5 10 2" xfId="793"/>
    <cellStyle name="20% - Accent5 10 2 10" xfId="8337"/>
    <cellStyle name="20% - Accent5 10 2 10 2" xfId="31112"/>
    <cellStyle name="20% - Accent5 10 2 11" xfId="8993"/>
    <cellStyle name="20% - Accent5 10 2 11 2" xfId="31768"/>
    <cellStyle name="20% - Accent5 10 2 12" xfId="9649"/>
    <cellStyle name="20% - Accent5 10 2 12 2" xfId="32424"/>
    <cellStyle name="20% - Accent5 10 2 13" xfId="10305"/>
    <cellStyle name="20% - Accent5 10 2 13 2" xfId="33080"/>
    <cellStyle name="20% - Accent5 10 2 14" xfId="10961"/>
    <cellStyle name="20% - Accent5 10 2 14 2" xfId="33736"/>
    <cellStyle name="20% - Accent5 10 2 15" xfId="11617"/>
    <cellStyle name="20% - Accent5 10 2 15 2" xfId="34392"/>
    <cellStyle name="20% - Accent5 10 2 16" xfId="12273"/>
    <cellStyle name="20% - Accent5 10 2 16 2" xfId="35048"/>
    <cellStyle name="20% - Accent5 10 2 17" xfId="12929"/>
    <cellStyle name="20% - Accent5 10 2 17 2" xfId="35704"/>
    <cellStyle name="20% - Accent5 10 2 18" xfId="13585"/>
    <cellStyle name="20% - Accent5 10 2 18 2" xfId="36360"/>
    <cellStyle name="20% - Accent5 10 2 19" xfId="14241"/>
    <cellStyle name="20% - Accent5 10 2 19 2" xfId="37016"/>
    <cellStyle name="20% - Accent5 10 2 2" xfId="1449"/>
    <cellStyle name="20% - Accent5 10 2 2 2" xfId="3745"/>
    <cellStyle name="20% - Accent5 10 2 2 2 2" xfId="26520"/>
    <cellStyle name="20% - Accent5 10 2 2 3" xfId="24224"/>
    <cellStyle name="20% - Accent5 10 2 20" xfId="14897"/>
    <cellStyle name="20% - Accent5 10 2 20 2" xfId="37672"/>
    <cellStyle name="20% - Accent5 10 2 21" xfId="15553"/>
    <cellStyle name="20% - Accent5 10 2 21 2" xfId="38328"/>
    <cellStyle name="20% - Accent5 10 2 22" xfId="16209"/>
    <cellStyle name="20% - Accent5 10 2 22 2" xfId="38984"/>
    <cellStyle name="20% - Accent5 10 2 23" xfId="16865"/>
    <cellStyle name="20% - Accent5 10 2 23 2" xfId="39640"/>
    <cellStyle name="20% - Accent5 10 2 24" xfId="17521"/>
    <cellStyle name="20% - Accent5 10 2 24 2" xfId="40296"/>
    <cellStyle name="20% - Accent5 10 2 25" xfId="18177"/>
    <cellStyle name="20% - Accent5 10 2 25 2" xfId="40952"/>
    <cellStyle name="20% - Accent5 10 2 26" xfId="18833"/>
    <cellStyle name="20% - Accent5 10 2 26 2" xfId="41608"/>
    <cellStyle name="20% - Accent5 10 2 27" xfId="19489"/>
    <cellStyle name="20% - Accent5 10 2 27 2" xfId="42264"/>
    <cellStyle name="20% - Accent5 10 2 28" xfId="20145"/>
    <cellStyle name="20% - Accent5 10 2 28 2" xfId="42920"/>
    <cellStyle name="20% - Accent5 10 2 29" xfId="20801"/>
    <cellStyle name="20% - Accent5 10 2 29 2" xfId="43576"/>
    <cellStyle name="20% - Accent5 10 2 3" xfId="2105"/>
    <cellStyle name="20% - Accent5 10 2 3 2" xfId="4401"/>
    <cellStyle name="20% - Accent5 10 2 3 2 2" xfId="27176"/>
    <cellStyle name="20% - Accent5 10 2 3 3" xfId="24880"/>
    <cellStyle name="20% - Accent5 10 2 30" xfId="21457"/>
    <cellStyle name="20% - Accent5 10 2 30 2" xfId="44232"/>
    <cellStyle name="20% - Accent5 10 2 31" xfId="22113"/>
    <cellStyle name="20% - Accent5 10 2 31 2" xfId="44888"/>
    <cellStyle name="20% - Accent5 10 2 32" xfId="22769"/>
    <cellStyle name="20% - Accent5 10 2 32 2" xfId="45544"/>
    <cellStyle name="20% - Accent5 10 2 33" xfId="23568"/>
    <cellStyle name="20% - Accent5 10 2 4" xfId="5057"/>
    <cellStyle name="20% - Accent5 10 2 4 2" xfId="27832"/>
    <cellStyle name="20% - Accent5 10 2 5" xfId="5713"/>
    <cellStyle name="20% - Accent5 10 2 5 2" xfId="28488"/>
    <cellStyle name="20% - Accent5 10 2 6" xfId="6369"/>
    <cellStyle name="20% - Accent5 10 2 6 2" xfId="29144"/>
    <cellStyle name="20% - Accent5 10 2 7" xfId="3089"/>
    <cellStyle name="20% - Accent5 10 2 7 2" xfId="25864"/>
    <cellStyle name="20% - Accent5 10 2 8" xfId="7025"/>
    <cellStyle name="20% - Accent5 10 2 8 2" xfId="29800"/>
    <cellStyle name="20% - Accent5 10 2 9" xfId="7681"/>
    <cellStyle name="20% - Accent5 10 2 9 2" xfId="30456"/>
    <cellStyle name="20% - Accent5 10 20" xfId="13257"/>
    <cellStyle name="20% - Accent5 10 20 2" xfId="36032"/>
    <cellStyle name="20% - Accent5 10 21" xfId="13913"/>
    <cellStyle name="20% - Accent5 10 21 2" xfId="36688"/>
    <cellStyle name="20% - Accent5 10 22" xfId="14569"/>
    <cellStyle name="20% - Accent5 10 22 2" xfId="37344"/>
    <cellStyle name="20% - Accent5 10 23" xfId="15225"/>
    <cellStyle name="20% - Accent5 10 23 2" xfId="38000"/>
    <cellStyle name="20% - Accent5 10 24" xfId="15881"/>
    <cellStyle name="20% - Accent5 10 24 2" xfId="38656"/>
    <cellStyle name="20% - Accent5 10 25" xfId="16537"/>
    <cellStyle name="20% - Accent5 10 25 2" xfId="39312"/>
    <cellStyle name="20% - Accent5 10 26" xfId="17193"/>
    <cellStyle name="20% - Accent5 10 26 2" xfId="39968"/>
    <cellStyle name="20% - Accent5 10 27" xfId="17849"/>
    <cellStyle name="20% - Accent5 10 27 2" xfId="40624"/>
    <cellStyle name="20% - Accent5 10 28" xfId="18505"/>
    <cellStyle name="20% - Accent5 10 28 2" xfId="41280"/>
    <cellStyle name="20% - Accent5 10 29" xfId="19161"/>
    <cellStyle name="20% - Accent5 10 29 2" xfId="41936"/>
    <cellStyle name="20% - Accent5 10 3" xfId="1121"/>
    <cellStyle name="20% - Accent5 10 3 2" xfId="2761"/>
    <cellStyle name="20% - Accent5 10 3 2 2" xfId="25536"/>
    <cellStyle name="20% - Accent5 10 3 3" xfId="23896"/>
    <cellStyle name="20% - Accent5 10 30" xfId="19817"/>
    <cellStyle name="20% - Accent5 10 30 2" xfId="42592"/>
    <cellStyle name="20% - Accent5 10 31" xfId="20473"/>
    <cellStyle name="20% - Accent5 10 31 2" xfId="43248"/>
    <cellStyle name="20% - Accent5 10 32" xfId="21129"/>
    <cellStyle name="20% - Accent5 10 32 2" xfId="43904"/>
    <cellStyle name="20% - Accent5 10 33" xfId="21785"/>
    <cellStyle name="20% - Accent5 10 33 2" xfId="44560"/>
    <cellStyle name="20% - Accent5 10 34" xfId="22441"/>
    <cellStyle name="20% - Accent5 10 34 2" xfId="45216"/>
    <cellStyle name="20% - Accent5 10 35" xfId="23240"/>
    <cellStyle name="20% - Accent5 10 4" xfId="1777"/>
    <cellStyle name="20% - Accent5 10 4 2" xfId="3417"/>
    <cellStyle name="20% - Accent5 10 4 2 2" xfId="26192"/>
    <cellStyle name="20% - Accent5 10 4 3" xfId="24552"/>
    <cellStyle name="20% - Accent5 10 5" xfId="4073"/>
    <cellStyle name="20% - Accent5 10 5 2" xfId="26848"/>
    <cellStyle name="20% - Accent5 10 6" xfId="4729"/>
    <cellStyle name="20% - Accent5 10 6 2" xfId="27504"/>
    <cellStyle name="20% - Accent5 10 7" xfId="5385"/>
    <cellStyle name="20% - Accent5 10 7 2" xfId="28160"/>
    <cellStyle name="20% - Accent5 10 8" xfId="6041"/>
    <cellStyle name="20% - Accent5 10 8 2" xfId="28816"/>
    <cellStyle name="20% - Accent5 10 9" xfId="2433"/>
    <cellStyle name="20% - Accent5 10 9 2" xfId="25208"/>
    <cellStyle name="20% - Accent5 11" xfId="608"/>
    <cellStyle name="20% - Accent5 11 10" xfId="8152"/>
    <cellStyle name="20% - Accent5 11 10 2" xfId="30927"/>
    <cellStyle name="20% - Accent5 11 11" xfId="8808"/>
    <cellStyle name="20% - Accent5 11 11 2" xfId="31583"/>
    <cellStyle name="20% - Accent5 11 12" xfId="9464"/>
    <cellStyle name="20% - Accent5 11 12 2" xfId="32239"/>
    <cellStyle name="20% - Accent5 11 13" xfId="10120"/>
    <cellStyle name="20% - Accent5 11 13 2" xfId="32895"/>
    <cellStyle name="20% - Accent5 11 14" xfId="10776"/>
    <cellStyle name="20% - Accent5 11 14 2" xfId="33551"/>
    <cellStyle name="20% - Accent5 11 15" xfId="11432"/>
    <cellStyle name="20% - Accent5 11 15 2" xfId="34207"/>
    <cellStyle name="20% - Accent5 11 16" xfId="12088"/>
    <cellStyle name="20% - Accent5 11 16 2" xfId="34863"/>
    <cellStyle name="20% - Accent5 11 17" xfId="12744"/>
    <cellStyle name="20% - Accent5 11 17 2" xfId="35519"/>
    <cellStyle name="20% - Accent5 11 18" xfId="13400"/>
    <cellStyle name="20% - Accent5 11 18 2" xfId="36175"/>
    <cellStyle name="20% - Accent5 11 19" xfId="14056"/>
    <cellStyle name="20% - Accent5 11 19 2" xfId="36831"/>
    <cellStyle name="20% - Accent5 11 2" xfId="1264"/>
    <cellStyle name="20% - Accent5 11 2 2" xfId="3560"/>
    <cellStyle name="20% - Accent5 11 2 2 2" xfId="26335"/>
    <cellStyle name="20% - Accent5 11 2 3" xfId="24039"/>
    <cellStyle name="20% - Accent5 11 20" xfId="14712"/>
    <cellStyle name="20% - Accent5 11 20 2" xfId="37487"/>
    <cellStyle name="20% - Accent5 11 21" xfId="15368"/>
    <cellStyle name="20% - Accent5 11 21 2" xfId="38143"/>
    <cellStyle name="20% - Accent5 11 22" xfId="16024"/>
    <cellStyle name="20% - Accent5 11 22 2" xfId="38799"/>
    <cellStyle name="20% - Accent5 11 23" xfId="16680"/>
    <cellStyle name="20% - Accent5 11 23 2" xfId="39455"/>
    <cellStyle name="20% - Accent5 11 24" xfId="17336"/>
    <cellStyle name="20% - Accent5 11 24 2" xfId="40111"/>
    <cellStyle name="20% - Accent5 11 25" xfId="17992"/>
    <cellStyle name="20% - Accent5 11 25 2" xfId="40767"/>
    <cellStyle name="20% - Accent5 11 26" xfId="18648"/>
    <cellStyle name="20% - Accent5 11 26 2" xfId="41423"/>
    <cellStyle name="20% - Accent5 11 27" xfId="19304"/>
    <cellStyle name="20% - Accent5 11 27 2" xfId="42079"/>
    <cellStyle name="20% - Accent5 11 28" xfId="19960"/>
    <cellStyle name="20% - Accent5 11 28 2" xfId="42735"/>
    <cellStyle name="20% - Accent5 11 29" xfId="20616"/>
    <cellStyle name="20% - Accent5 11 29 2" xfId="43391"/>
    <cellStyle name="20% - Accent5 11 3" xfId="1920"/>
    <cellStyle name="20% - Accent5 11 3 2" xfId="4216"/>
    <cellStyle name="20% - Accent5 11 3 2 2" xfId="26991"/>
    <cellStyle name="20% - Accent5 11 3 3" xfId="24695"/>
    <cellStyle name="20% - Accent5 11 30" xfId="21272"/>
    <cellStyle name="20% - Accent5 11 30 2" xfId="44047"/>
    <cellStyle name="20% - Accent5 11 31" xfId="21928"/>
    <cellStyle name="20% - Accent5 11 31 2" xfId="44703"/>
    <cellStyle name="20% - Accent5 11 32" xfId="22584"/>
    <cellStyle name="20% - Accent5 11 32 2" xfId="45359"/>
    <cellStyle name="20% - Accent5 11 33" xfId="23383"/>
    <cellStyle name="20% - Accent5 11 4" xfId="4872"/>
    <cellStyle name="20% - Accent5 11 4 2" xfId="27647"/>
    <cellStyle name="20% - Accent5 11 5" xfId="5528"/>
    <cellStyle name="20% - Accent5 11 5 2" xfId="28303"/>
    <cellStyle name="20% - Accent5 11 6" xfId="6184"/>
    <cellStyle name="20% - Accent5 11 6 2" xfId="28959"/>
    <cellStyle name="20% - Accent5 11 7" xfId="2904"/>
    <cellStyle name="20% - Accent5 11 7 2" xfId="25679"/>
    <cellStyle name="20% - Accent5 11 8" xfId="6840"/>
    <cellStyle name="20% - Accent5 11 8 2" xfId="29615"/>
    <cellStyle name="20% - Accent5 11 9" xfId="7496"/>
    <cellStyle name="20% - Accent5 11 9 2" xfId="30271"/>
    <cellStyle name="20% - Accent5 12" xfId="281"/>
    <cellStyle name="20% - Accent5 12 2" xfId="2576"/>
    <cellStyle name="20% - Accent5 12 2 2" xfId="25351"/>
    <cellStyle name="20% - Accent5 12 3" xfId="23055"/>
    <cellStyle name="20% - Accent5 13" xfId="936"/>
    <cellStyle name="20% - Accent5 13 2" xfId="3232"/>
    <cellStyle name="20% - Accent5 13 2 2" xfId="26007"/>
    <cellStyle name="20% - Accent5 13 3" xfId="23711"/>
    <cellStyle name="20% - Accent5 14" xfId="1592"/>
    <cellStyle name="20% - Accent5 14 2" xfId="3888"/>
    <cellStyle name="20% - Accent5 14 2 2" xfId="26663"/>
    <cellStyle name="20% - Accent5 14 3" xfId="24367"/>
    <cellStyle name="20% - Accent5 15" xfId="4544"/>
    <cellStyle name="20% - Accent5 15 2" xfId="27319"/>
    <cellStyle name="20% - Accent5 16" xfId="5200"/>
    <cellStyle name="20% - Accent5 16 2" xfId="27975"/>
    <cellStyle name="20% - Accent5 17" xfId="5856"/>
    <cellStyle name="20% - Accent5 17 2" xfId="28631"/>
    <cellStyle name="20% - Accent5 18" xfId="2248"/>
    <cellStyle name="20% - Accent5 18 2" xfId="25023"/>
    <cellStyle name="20% - Accent5 19" xfId="6512"/>
    <cellStyle name="20% - Accent5 19 2" xfId="29287"/>
    <cellStyle name="20% - Accent5 2" xfId="76"/>
    <cellStyle name="20% - Accent5 2 10" xfId="5872"/>
    <cellStyle name="20% - Accent5 2 10 2" xfId="28647"/>
    <cellStyle name="20% - Accent5 2 11" xfId="2264"/>
    <cellStyle name="20% - Accent5 2 11 2" xfId="25039"/>
    <cellStyle name="20% - Accent5 2 12" xfId="6528"/>
    <cellStyle name="20% - Accent5 2 12 2" xfId="29303"/>
    <cellStyle name="20% - Accent5 2 13" xfId="7184"/>
    <cellStyle name="20% - Accent5 2 13 2" xfId="29959"/>
    <cellStyle name="20% - Accent5 2 14" xfId="7840"/>
    <cellStyle name="20% - Accent5 2 14 2" xfId="30615"/>
    <cellStyle name="20% - Accent5 2 15" xfId="8496"/>
    <cellStyle name="20% - Accent5 2 15 2" xfId="31271"/>
    <cellStyle name="20% - Accent5 2 16" xfId="9152"/>
    <cellStyle name="20% - Accent5 2 16 2" xfId="31927"/>
    <cellStyle name="20% - Accent5 2 17" xfId="9808"/>
    <cellStyle name="20% - Accent5 2 17 2" xfId="32583"/>
    <cellStyle name="20% - Accent5 2 18" xfId="10464"/>
    <cellStyle name="20% - Accent5 2 18 2" xfId="33239"/>
    <cellStyle name="20% - Accent5 2 19" xfId="11120"/>
    <cellStyle name="20% - Accent5 2 19 2" xfId="33895"/>
    <cellStyle name="20% - Accent5 2 2" xfId="152"/>
    <cellStyle name="20% - Accent5 2 2 10" xfId="2350"/>
    <cellStyle name="20% - Accent5 2 2 10 2" xfId="25125"/>
    <cellStyle name="20% - Accent5 2 2 11" xfId="6614"/>
    <cellStyle name="20% - Accent5 2 2 11 2" xfId="29389"/>
    <cellStyle name="20% - Accent5 2 2 12" xfId="7270"/>
    <cellStyle name="20% - Accent5 2 2 12 2" xfId="30045"/>
    <cellStyle name="20% - Accent5 2 2 13" xfId="7926"/>
    <cellStyle name="20% - Accent5 2 2 13 2" xfId="30701"/>
    <cellStyle name="20% - Accent5 2 2 14" xfId="8582"/>
    <cellStyle name="20% - Accent5 2 2 14 2" xfId="31357"/>
    <cellStyle name="20% - Accent5 2 2 15" xfId="9238"/>
    <cellStyle name="20% - Accent5 2 2 15 2" xfId="32013"/>
    <cellStyle name="20% - Accent5 2 2 16" xfId="9894"/>
    <cellStyle name="20% - Accent5 2 2 16 2" xfId="32669"/>
    <cellStyle name="20% - Accent5 2 2 17" xfId="10550"/>
    <cellStyle name="20% - Accent5 2 2 17 2" xfId="33325"/>
    <cellStyle name="20% - Accent5 2 2 18" xfId="11206"/>
    <cellStyle name="20% - Accent5 2 2 18 2" xfId="33981"/>
    <cellStyle name="20% - Accent5 2 2 19" xfId="11862"/>
    <cellStyle name="20% - Accent5 2 2 19 2" xfId="34637"/>
    <cellStyle name="20% - Accent5 2 2 2" xfId="566"/>
    <cellStyle name="20% - Accent5 2 2 2 10" xfId="6799"/>
    <cellStyle name="20% - Accent5 2 2 2 10 2" xfId="29574"/>
    <cellStyle name="20% - Accent5 2 2 2 11" xfId="7455"/>
    <cellStyle name="20% - Accent5 2 2 2 11 2" xfId="30230"/>
    <cellStyle name="20% - Accent5 2 2 2 12" xfId="8111"/>
    <cellStyle name="20% - Accent5 2 2 2 12 2" xfId="30886"/>
    <cellStyle name="20% - Accent5 2 2 2 13" xfId="8767"/>
    <cellStyle name="20% - Accent5 2 2 2 13 2" xfId="31542"/>
    <cellStyle name="20% - Accent5 2 2 2 14" xfId="9423"/>
    <cellStyle name="20% - Accent5 2 2 2 14 2" xfId="32198"/>
    <cellStyle name="20% - Accent5 2 2 2 15" xfId="10079"/>
    <cellStyle name="20% - Accent5 2 2 2 15 2" xfId="32854"/>
    <cellStyle name="20% - Accent5 2 2 2 16" xfId="10735"/>
    <cellStyle name="20% - Accent5 2 2 2 16 2" xfId="33510"/>
    <cellStyle name="20% - Accent5 2 2 2 17" xfId="11391"/>
    <cellStyle name="20% - Accent5 2 2 2 17 2" xfId="34166"/>
    <cellStyle name="20% - Accent5 2 2 2 18" xfId="12047"/>
    <cellStyle name="20% - Accent5 2 2 2 18 2" xfId="34822"/>
    <cellStyle name="20% - Accent5 2 2 2 19" xfId="12703"/>
    <cellStyle name="20% - Accent5 2 2 2 19 2" xfId="35478"/>
    <cellStyle name="20% - Accent5 2 2 2 2" xfId="895"/>
    <cellStyle name="20% - Accent5 2 2 2 2 10" xfId="8439"/>
    <cellStyle name="20% - Accent5 2 2 2 2 10 2" xfId="31214"/>
    <cellStyle name="20% - Accent5 2 2 2 2 11" xfId="9095"/>
    <cellStyle name="20% - Accent5 2 2 2 2 11 2" xfId="31870"/>
    <cellStyle name="20% - Accent5 2 2 2 2 12" xfId="9751"/>
    <cellStyle name="20% - Accent5 2 2 2 2 12 2" xfId="32526"/>
    <cellStyle name="20% - Accent5 2 2 2 2 13" xfId="10407"/>
    <cellStyle name="20% - Accent5 2 2 2 2 13 2" xfId="33182"/>
    <cellStyle name="20% - Accent5 2 2 2 2 14" xfId="11063"/>
    <cellStyle name="20% - Accent5 2 2 2 2 14 2" xfId="33838"/>
    <cellStyle name="20% - Accent5 2 2 2 2 15" xfId="11719"/>
    <cellStyle name="20% - Accent5 2 2 2 2 15 2" xfId="34494"/>
    <cellStyle name="20% - Accent5 2 2 2 2 16" xfId="12375"/>
    <cellStyle name="20% - Accent5 2 2 2 2 16 2" xfId="35150"/>
    <cellStyle name="20% - Accent5 2 2 2 2 17" xfId="13031"/>
    <cellStyle name="20% - Accent5 2 2 2 2 17 2" xfId="35806"/>
    <cellStyle name="20% - Accent5 2 2 2 2 18" xfId="13687"/>
    <cellStyle name="20% - Accent5 2 2 2 2 18 2" xfId="36462"/>
    <cellStyle name="20% - Accent5 2 2 2 2 19" xfId="14343"/>
    <cellStyle name="20% - Accent5 2 2 2 2 19 2" xfId="37118"/>
    <cellStyle name="20% - Accent5 2 2 2 2 2" xfId="1551"/>
    <cellStyle name="20% - Accent5 2 2 2 2 2 2" xfId="3847"/>
    <cellStyle name="20% - Accent5 2 2 2 2 2 2 2" xfId="26622"/>
    <cellStyle name="20% - Accent5 2 2 2 2 2 3" xfId="24326"/>
    <cellStyle name="20% - Accent5 2 2 2 2 20" xfId="14999"/>
    <cellStyle name="20% - Accent5 2 2 2 2 20 2" xfId="37774"/>
    <cellStyle name="20% - Accent5 2 2 2 2 21" xfId="15655"/>
    <cellStyle name="20% - Accent5 2 2 2 2 21 2" xfId="38430"/>
    <cellStyle name="20% - Accent5 2 2 2 2 22" xfId="16311"/>
    <cellStyle name="20% - Accent5 2 2 2 2 22 2" xfId="39086"/>
    <cellStyle name="20% - Accent5 2 2 2 2 23" xfId="16967"/>
    <cellStyle name="20% - Accent5 2 2 2 2 23 2" xfId="39742"/>
    <cellStyle name="20% - Accent5 2 2 2 2 24" xfId="17623"/>
    <cellStyle name="20% - Accent5 2 2 2 2 24 2" xfId="40398"/>
    <cellStyle name="20% - Accent5 2 2 2 2 25" xfId="18279"/>
    <cellStyle name="20% - Accent5 2 2 2 2 25 2" xfId="41054"/>
    <cellStyle name="20% - Accent5 2 2 2 2 26" xfId="18935"/>
    <cellStyle name="20% - Accent5 2 2 2 2 26 2" xfId="41710"/>
    <cellStyle name="20% - Accent5 2 2 2 2 27" xfId="19591"/>
    <cellStyle name="20% - Accent5 2 2 2 2 27 2" xfId="42366"/>
    <cellStyle name="20% - Accent5 2 2 2 2 28" xfId="20247"/>
    <cellStyle name="20% - Accent5 2 2 2 2 28 2" xfId="43022"/>
    <cellStyle name="20% - Accent5 2 2 2 2 29" xfId="20903"/>
    <cellStyle name="20% - Accent5 2 2 2 2 29 2" xfId="43678"/>
    <cellStyle name="20% - Accent5 2 2 2 2 3" xfId="2207"/>
    <cellStyle name="20% - Accent5 2 2 2 2 3 2" xfId="4503"/>
    <cellStyle name="20% - Accent5 2 2 2 2 3 2 2" xfId="27278"/>
    <cellStyle name="20% - Accent5 2 2 2 2 3 3" xfId="24982"/>
    <cellStyle name="20% - Accent5 2 2 2 2 30" xfId="21559"/>
    <cellStyle name="20% - Accent5 2 2 2 2 30 2" xfId="44334"/>
    <cellStyle name="20% - Accent5 2 2 2 2 31" xfId="22215"/>
    <cellStyle name="20% - Accent5 2 2 2 2 31 2" xfId="44990"/>
    <cellStyle name="20% - Accent5 2 2 2 2 32" xfId="22871"/>
    <cellStyle name="20% - Accent5 2 2 2 2 32 2" xfId="45646"/>
    <cellStyle name="20% - Accent5 2 2 2 2 33" xfId="23670"/>
    <cellStyle name="20% - Accent5 2 2 2 2 4" xfId="5159"/>
    <cellStyle name="20% - Accent5 2 2 2 2 4 2" xfId="27934"/>
    <cellStyle name="20% - Accent5 2 2 2 2 5" xfId="5815"/>
    <cellStyle name="20% - Accent5 2 2 2 2 5 2" xfId="28590"/>
    <cellStyle name="20% - Accent5 2 2 2 2 6" xfId="6471"/>
    <cellStyle name="20% - Accent5 2 2 2 2 6 2" xfId="29246"/>
    <cellStyle name="20% - Accent5 2 2 2 2 7" xfId="3191"/>
    <cellStyle name="20% - Accent5 2 2 2 2 7 2" xfId="25966"/>
    <cellStyle name="20% - Accent5 2 2 2 2 8" xfId="7127"/>
    <cellStyle name="20% - Accent5 2 2 2 2 8 2" xfId="29902"/>
    <cellStyle name="20% - Accent5 2 2 2 2 9" xfId="7783"/>
    <cellStyle name="20% - Accent5 2 2 2 2 9 2" xfId="30558"/>
    <cellStyle name="20% - Accent5 2 2 2 20" xfId="13359"/>
    <cellStyle name="20% - Accent5 2 2 2 20 2" xfId="36134"/>
    <cellStyle name="20% - Accent5 2 2 2 21" xfId="14015"/>
    <cellStyle name="20% - Accent5 2 2 2 21 2" xfId="36790"/>
    <cellStyle name="20% - Accent5 2 2 2 22" xfId="14671"/>
    <cellStyle name="20% - Accent5 2 2 2 22 2" xfId="37446"/>
    <cellStyle name="20% - Accent5 2 2 2 23" xfId="15327"/>
    <cellStyle name="20% - Accent5 2 2 2 23 2" xfId="38102"/>
    <cellStyle name="20% - Accent5 2 2 2 24" xfId="15983"/>
    <cellStyle name="20% - Accent5 2 2 2 24 2" xfId="38758"/>
    <cellStyle name="20% - Accent5 2 2 2 25" xfId="16639"/>
    <cellStyle name="20% - Accent5 2 2 2 25 2" xfId="39414"/>
    <cellStyle name="20% - Accent5 2 2 2 26" xfId="17295"/>
    <cellStyle name="20% - Accent5 2 2 2 26 2" xfId="40070"/>
    <cellStyle name="20% - Accent5 2 2 2 27" xfId="17951"/>
    <cellStyle name="20% - Accent5 2 2 2 27 2" xfId="40726"/>
    <cellStyle name="20% - Accent5 2 2 2 28" xfId="18607"/>
    <cellStyle name="20% - Accent5 2 2 2 28 2" xfId="41382"/>
    <cellStyle name="20% - Accent5 2 2 2 29" xfId="19263"/>
    <cellStyle name="20% - Accent5 2 2 2 29 2" xfId="42038"/>
    <cellStyle name="20% - Accent5 2 2 2 3" xfId="1223"/>
    <cellStyle name="20% - Accent5 2 2 2 3 2" xfId="2863"/>
    <cellStyle name="20% - Accent5 2 2 2 3 2 2" xfId="25638"/>
    <cellStyle name="20% - Accent5 2 2 2 3 3" xfId="23998"/>
    <cellStyle name="20% - Accent5 2 2 2 30" xfId="19919"/>
    <cellStyle name="20% - Accent5 2 2 2 30 2" xfId="42694"/>
    <cellStyle name="20% - Accent5 2 2 2 31" xfId="20575"/>
    <cellStyle name="20% - Accent5 2 2 2 31 2" xfId="43350"/>
    <cellStyle name="20% - Accent5 2 2 2 32" xfId="21231"/>
    <cellStyle name="20% - Accent5 2 2 2 32 2" xfId="44006"/>
    <cellStyle name="20% - Accent5 2 2 2 33" xfId="21887"/>
    <cellStyle name="20% - Accent5 2 2 2 33 2" xfId="44662"/>
    <cellStyle name="20% - Accent5 2 2 2 34" xfId="22543"/>
    <cellStyle name="20% - Accent5 2 2 2 34 2" xfId="45318"/>
    <cellStyle name="20% - Accent5 2 2 2 35" xfId="23342"/>
    <cellStyle name="20% - Accent5 2 2 2 4" xfId="1879"/>
    <cellStyle name="20% - Accent5 2 2 2 4 2" xfId="3519"/>
    <cellStyle name="20% - Accent5 2 2 2 4 2 2" xfId="26294"/>
    <cellStyle name="20% - Accent5 2 2 2 4 3" xfId="24654"/>
    <cellStyle name="20% - Accent5 2 2 2 5" xfId="4175"/>
    <cellStyle name="20% - Accent5 2 2 2 5 2" xfId="26950"/>
    <cellStyle name="20% - Accent5 2 2 2 6" xfId="4831"/>
    <cellStyle name="20% - Accent5 2 2 2 6 2" xfId="27606"/>
    <cellStyle name="20% - Accent5 2 2 2 7" xfId="5487"/>
    <cellStyle name="20% - Accent5 2 2 2 7 2" xfId="28262"/>
    <cellStyle name="20% - Accent5 2 2 2 8" xfId="6143"/>
    <cellStyle name="20% - Accent5 2 2 2 8 2" xfId="28918"/>
    <cellStyle name="20% - Accent5 2 2 2 9" xfId="2535"/>
    <cellStyle name="20% - Accent5 2 2 2 9 2" xfId="25310"/>
    <cellStyle name="20% - Accent5 2 2 20" xfId="12518"/>
    <cellStyle name="20% - Accent5 2 2 20 2" xfId="35293"/>
    <cellStyle name="20% - Accent5 2 2 21" xfId="13174"/>
    <cellStyle name="20% - Accent5 2 2 21 2" xfId="35949"/>
    <cellStyle name="20% - Accent5 2 2 22" xfId="13830"/>
    <cellStyle name="20% - Accent5 2 2 22 2" xfId="36605"/>
    <cellStyle name="20% - Accent5 2 2 23" xfId="14486"/>
    <cellStyle name="20% - Accent5 2 2 23 2" xfId="37261"/>
    <cellStyle name="20% - Accent5 2 2 24" xfId="15142"/>
    <cellStyle name="20% - Accent5 2 2 24 2" xfId="37917"/>
    <cellStyle name="20% - Accent5 2 2 25" xfId="15798"/>
    <cellStyle name="20% - Accent5 2 2 25 2" xfId="38573"/>
    <cellStyle name="20% - Accent5 2 2 26" xfId="16454"/>
    <cellStyle name="20% - Accent5 2 2 26 2" xfId="39229"/>
    <cellStyle name="20% - Accent5 2 2 27" xfId="17110"/>
    <cellStyle name="20% - Accent5 2 2 27 2" xfId="39885"/>
    <cellStyle name="20% - Accent5 2 2 28" xfId="17766"/>
    <cellStyle name="20% - Accent5 2 2 28 2" xfId="40541"/>
    <cellStyle name="20% - Accent5 2 2 29" xfId="18422"/>
    <cellStyle name="20% - Accent5 2 2 29 2" xfId="41197"/>
    <cellStyle name="20% - Accent5 2 2 3" xfId="710"/>
    <cellStyle name="20% - Accent5 2 2 3 10" xfId="8254"/>
    <cellStyle name="20% - Accent5 2 2 3 10 2" xfId="31029"/>
    <cellStyle name="20% - Accent5 2 2 3 11" xfId="8910"/>
    <cellStyle name="20% - Accent5 2 2 3 11 2" xfId="31685"/>
    <cellStyle name="20% - Accent5 2 2 3 12" xfId="9566"/>
    <cellStyle name="20% - Accent5 2 2 3 12 2" xfId="32341"/>
    <cellStyle name="20% - Accent5 2 2 3 13" xfId="10222"/>
    <cellStyle name="20% - Accent5 2 2 3 13 2" xfId="32997"/>
    <cellStyle name="20% - Accent5 2 2 3 14" xfId="10878"/>
    <cellStyle name="20% - Accent5 2 2 3 14 2" xfId="33653"/>
    <cellStyle name="20% - Accent5 2 2 3 15" xfId="11534"/>
    <cellStyle name="20% - Accent5 2 2 3 15 2" xfId="34309"/>
    <cellStyle name="20% - Accent5 2 2 3 16" xfId="12190"/>
    <cellStyle name="20% - Accent5 2 2 3 16 2" xfId="34965"/>
    <cellStyle name="20% - Accent5 2 2 3 17" xfId="12846"/>
    <cellStyle name="20% - Accent5 2 2 3 17 2" xfId="35621"/>
    <cellStyle name="20% - Accent5 2 2 3 18" xfId="13502"/>
    <cellStyle name="20% - Accent5 2 2 3 18 2" xfId="36277"/>
    <cellStyle name="20% - Accent5 2 2 3 19" xfId="14158"/>
    <cellStyle name="20% - Accent5 2 2 3 19 2" xfId="36933"/>
    <cellStyle name="20% - Accent5 2 2 3 2" xfId="1366"/>
    <cellStyle name="20% - Accent5 2 2 3 2 2" xfId="3662"/>
    <cellStyle name="20% - Accent5 2 2 3 2 2 2" xfId="26437"/>
    <cellStyle name="20% - Accent5 2 2 3 2 3" xfId="24141"/>
    <cellStyle name="20% - Accent5 2 2 3 20" xfId="14814"/>
    <cellStyle name="20% - Accent5 2 2 3 20 2" xfId="37589"/>
    <cellStyle name="20% - Accent5 2 2 3 21" xfId="15470"/>
    <cellStyle name="20% - Accent5 2 2 3 21 2" xfId="38245"/>
    <cellStyle name="20% - Accent5 2 2 3 22" xfId="16126"/>
    <cellStyle name="20% - Accent5 2 2 3 22 2" xfId="38901"/>
    <cellStyle name="20% - Accent5 2 2 3 23" xfId="16782"/>
    <cellStyle name="20% - Accent5 2 2 3 23 2" xfId="39557"/>
    <cellStyle name="20% - Accent5 2 2 3 24" xfId="17438"/>
    <cellStyle name="20% - Accent5 2 2 3 24 2" xfId="40213"/>
    <cellStyle name="20% - Accent5 2 2 3 25" xfId="18094"/>
    <cellStyle name="20% - Accent5 2 2 3 25 2" xfId="40869"/>
    <cellStyle name="20% - Accent5 2 2 3 26" xfId="18750"/>
    <cellStyle name="20% - Accent5 2 2 3 26 2" xfId="41525"/>
    <cellStyle name="20% - Accent5 2 2 3 27" xfId="19406"/>
    <cellStyle name="20% - Accent5 2 2 3 27 2" xfId="42181"/>
    <cellStyle name="20% - Accent5 2 2 3 28" xfId="20062"/>
    <cellStyle name="20% - Accent5 2 2 3 28 2" xfId="42837"/>
    <cellStyle name="20% - Accent5 2 2 3 29" xfId="20718"/>
    <cellStyle name="20% - Accent5 2 2 3 29 2" xfId="43493"/>
    <cellStyle name="20% - Accent5 2 2 3 3" xfId="2022"/>
    <cellStyle name="20% - Accent5 2 2 3 3 2" xfId="4318"/>
    <cellStyle name="20% - Accent5 2 2 3 3 2 2" xfId="27093"/>
    <cellStyle name="20% - Accent5 2 2 3 3 3" xfId="24797"/>
    <cellStyle name="20% - Accent5 2 2 3 30" xfId="21374"/>
    <cellStyle name="20% - Accent5 2 2 3 30 2" xfId="44149"/>
    <cellStyle name="20% - Accent5 2 2 3 31" xfId="22030"/>
    <cellStyle name="20% - Accent5 2 2 3 31 2" xfId="44805"/>
    <cellStyle name="20% - Accent5 2 2 3 32" xfId="22686"/>
    <cellStyle name="20% - Accent5 2 2 3 32 2" xfId="45461"/>
    <cellStyle name="20% - Accent5 2 2 3 33" xfId="23485"/>
    <cellStyle name="20% - Accent5 2 2 3 4" xfId="4974"/>
    <cellStyle name="20% - Accent5 2 2 3 4 2" xfId="27749"/>
    <cellStyle name="20% - Accent5 2 2 3 5" xfId="5630"/>
    <cellStyle name="20% - Accent5 2 2 3 5 2" xfId="28405"/>
    <cellStyle name="20% - Accent5 2 2 3 6" xfId="6286"/>
    <cellStyle name="20% - Accent5 2 2 3 6 2" xfId="29061"/>
    <cellStyle name="20% - Accent5 2 2 3 7" xfId="3006"/>
    <cellStyle name="20% - Accent5 2 2 3 7 2" xfId="25781"/>
    <cellStyle name="20% - Accent5 2 2 3 8" xfId="6942"/>
    <cellStyle name="20% - Accent5 2 2 3 8 2" xfId="29717"/>
    <cellStyle name="20% - Accent5 2 2 3 9" xfId="7598"/>
    <cellStyle name="20% - Accent5 2 2 3 9 2" xfId="30373"/>
    <cellStyle name="20% - Accent5 2 2 30" xfId="19078"/>
    <cellStyle name="20% - Accent5 2 2 30 2" xfId="41853"/>
    <cellStyle name="20% - Accent5 2 2 31" xfId="19734"/>
    <cellStyle name="20% - Accent5 2 2 31 2" xfId="42509"/>
    <cellStyle name="20% - Accent5 2 2 32" xfId="20390"/>
    <cellStyle name="20% - Accent5 2 2 32 2" xfId="43165"/>
    <cellStyle name="20% - Accent5 2 2 33" xfId="21046"/>
    <cellStyle name="20% - Accent5 2 2 33 2" xfId="43821"/>
    <cellStyle name="20% - Accent5 2 2 34" xfId="21702"/>
    <cellStyle name="20% - Accent5 2 2 34 2" xfId="44477"/>
    <cellStyle name="20% - Accent5 2 2 35" xfId="22358"/>
    <cellStyle name="20% - Accent5 2 2 35 2" xfId="45133"/>
    <cellStyle name="20% - Accent5 2 2 36" xfId="23014"/>
    <cellStyle name="20% - Accent5 2 2 4" xfId="383"/>
    <cellStyle name="20% - Accent5 2 2 4 2" xfId="2678"/>
    <cellStyle name="20% - Accent5 2 2 4 2 2" xfId="25453"/>
    <cellStyle name="20% - Accent5 2 2 4 3" xfId="23157"/>
    <cellStyle name="20% - Accent5 2 2 5" xfId="1038"/>
    <cellStyle name="20% - Accent5 2 2 5 2" xfId="3334"/>
    <cellStyle name="20% - Accent5 2 2 5 2 2" xfId="26109"/>
    <cellStyle name="20% - Accent5 2 2 5 3" xfId="23813"/>
    <cellStyle name="20% - Accent5 2 2 6" xfId="1694"/>
    <cellStyle name="20% - Accent5 2 2 6 2" xfId="3990"/>
    <cellStyle name="20% - Accent5 2 2 6 2 2" xfId="26765"/>
    <cellStyle name="20% - Accent5 2 2 6 3" xfId="24469"/>
    <cellStyle name="20% - Accent5 2 2 7" xfId="4646"/>
    <cellStyle name="20% - Accent5 2 2 7 2" xfId="27421"/>
    <cellStyle name="20% - Accent5 2 2 8" xfId="5302"/>
    <cellStyle name="20% - Accent5 2 2 8 2" xfId="28077"/>
    <cellStyle name="20% - Accent5 2 2 9" xfId="5958"/>
    <cellStyle name="20% - Accent5 2 2 9 2" xfId="28733"/>
    <cellStyle name="20% - Accent5 2 20" xfId="11776"/>
    <cellStyle name="20% - Accent5 2 20 2" xfId="34551"/>
    <cellStyle name="20% - Accent5 2 21" xfId="12432"/>
    <cellStyle name="20% - Accent5 2 21 2" xfId="35207"/>
    <cellStyle name="20% - Accent5 2 22" xfId="13088"/>
    <cellStyle name="20% - Accent5 2 22 2" xfId="35863"/>
    <cellStyle name="20% - Accent5 2 23" xfId="13744"/>
    <cellStyle name="20% - Accent5 2 23 2" xfId="36519"/>
    <cellStyle name="20% - Accent5 2 24" xfId="14400"/>
    <cellStyle name="20% - Accent5 2 24 2" xfId="37175"/>
    <cellStyle name="20% - Accent5 2 25" xfId="15056"/>
    <cellStyle name="20% - Accent5 2 25 2" xfId="37831"/>
    <cellStyle name="20% - Accent5 2 26" xfId="15712"/>
    <cellStyle name="20% - Accent5 2 26 2" xfId="38487"/>
    <cellStyle name="20% - Accent5 2 27" xfId="16368"/>
    <cellStyle name="20% - Accent5 2 27 2" xfId="39143"/>
    <cellStyle name="20% - Accent5 2 28" xfId="17024"/>
    <cellStyle name="20% - Accent5 2 28 2" xfId="39799"/>
    <cellStyle name="20% - Accent5 2 29" xfId="17680"/>
    <cellStyle name="20% - Accent5 2 29 2" xfId="40455"/>
    <cellStyle name="20% - Accent5 2 3" xfId="482"/>
    <cellStyle name="20% - Accent5 2 3 10" xfId="6713"/>
    <cellStyle name="20% - Accent5 2 3 10 2" xfId="29488"/>
    <cellStyle name="20% - Accent5 2 3 11" xfId="7369"/>
    <cellStyle name="20% - Accent5 2 3 11 2" xfId="30144"/>
    <cellStyle name="20% - Accent5 2 3 12" xfId="8025"/>
    <cellStyle name="20% - Accent5 2 3 12 2" xfId="30800"/>
    <cellStyle name="20% - Accent5 2 3 13" xfId="8681"/>
    <cellStyle name="20% - Accent5 2 3 13 2" xfId="31456"/>
    <cellStyle name="20% - Accent5 2 3 14" xfId="9337"/>
    <cellStyle name="20% - Accent5 2 3 14 2" xfId="32112"/>
    <cellStyle name="20% - Accent5 2 3 15" xfId="9993"/>
    <cellStyle name="20% - Accent5 2 3 15 2" xfId="32768"/>
    <cellStyle name="20% - Accent5 2 3 16" xfId="10649"/>
    <cellStyle name="20% - Accent5 2 3 16 2" xfId="33424"/>
    <cellStyle name="20% - Accent5 2 3 17" xfId="11305"/>
    <cellStyle name="20% - Accent5 2 3 17 2" xfId="34080"/>
    <cellStyle name="20% - Accent5 2 3 18" xfId="11961"/>
    <cellStyle name="20% - Accent5 2 3 18 2" xfId="34736"/>
    <cellStyle name="20% - Accent5 2 3 19" xfId="12617"/>
    <cellStyle name="20% - Accent5 2 3 19 2" xfId="35392"/>
    <cellStyle name="20% - Accent5 2 3 2" xfId="809"/>
    <cellStyle name="20% - Accent5 2 3 2 10" xfId="8353"/>
    <cellStyle name="20% - Accent5 2 3 2 10 2" xfId="31128"/>
    <cellStyle name="20% - Accent5 2 3 2 11" xfId="9009"/>
    <cellStyle name="20% - Accent5 2 3 2 11 2" xfId="31784"/>
    <cellStyle name="20% - Accent5 2 3 2 12" xfId="9665"/>
    <cellStyle name="20% - Accent5 2 3 2 12 2" xfId="32440"/>
    <cellStyle name="20% - Accent5 2 3 2 13" xfId="10321"/>
    <cellStyle name="20% - Accent5 2 3 2 13 2" xfId="33096"/>
    <cellStyle name="20% - Accent5 2 3 2 14" xfId="10977"/>
    <cellStyle name="20% - Accent5 2 3 2 14 2" xfId="33752"/>
    <cellStyle name="20% - Accent5 2 3 2 15" xfId="11633"/>
    <cellStyle name="20% - Accent5 2 3 2 15 2" xfId="34408"/>
    <cellStyle name="20% - Accent5 2 3 2 16" xfId="12289"/>
    <cellStyle name="20% - Accent5 2 3 2 16 2" xfId="35064"/>
    <cellStyle name="20% - Accent5 2 3 2 17" xfId="12945"/>
    <cellStyle name="20% - Accent5 2 3 2 17 2" xfId="35720"/>
    <cellStyle name="20% - Accent5 2 3 2 18" xfId="13601"/>
    <cellStyle name="20% - Accent5 2 3 2 18 2" xfId="36376"/>
    <cellStyle name="20% - Accent5 2 3 2 19" xfId="14257"/>
    <cellStyle name="20% - Accent5 2 3 2 19 2" xfId="37032"/>
    <cellStyle name="20% - Accent5 2 3 2 2" xfId="1465"/>
    <cellStyle name="20% - Accent5 2 3 2 2 2" xfId="3761"/>
    <cellStyle name="20% - Accent5 2 3 2 2 2 2" xfId="26536"/>
    <cellStyle name="20% - Accent5 2 3 2 2 3" xfId="24240"/>
    <cellStyle name="20% - Accent5 2 3 2 20" xfId="14913"/>
    <cellStyle name="20% - Accent5 2 3 2 20 2" xfId="37688"/>
    <cellStyle name="20% - Accent5 2 3 2 21" xfId="15569"/>
    <cellStyle name="20% - Accent5 2 3 2 21 2" xfId="38344"/>
    <cellStyle name="20% - Accent5 2 3 2 22" xfId="16225"/>
    <cellStyle name="20% - Accent5 2 3 2 22 2" xfId="39000"/>
    <cellStyle name="20% - Accent5 2 3 2 23" xfId="16881"/>
    <cellStyle name="20% - Accent5 2 3 2 23 2" xfId="39656"/>
    <cellStyle name="20% - Accent5 2 3 2 24" xfId="17537"/>
    <cellStyle name="20% - Accent5 2 3 2 24 2" xfId="40312"/>
    <cellStyle name="20% - Accent5 2 3 2 25" xfId="18193"/>
    <cellStyle name="20% - Accent5 2 3 2 25 2" xfId="40968"/>
    <cellStyle name="20% - Accent5 2 3 2 26" xfId="18849"/>
    <cellStyle name="20% - Accent5 2 3 2 26 2" xfId="41624"/>
    <cellStyle name="20% - Accent5 2 3 2 27" xfId="19505"/>
    <cellStyle name="20% - Accent5 2 3 2 27 2" xfId="42280"/>
    <cellStyle name="20% - Accent5 2 3 2 28" xfId="20161"/>
    <cellStyle name="20% - Accent5 2 3 2 28 2" xfId="42936"/>
    <cellStyle name="20% - Accent5 2 3 2 29" xfId="20817"/>
    <cellStyle name="20% - Accent5 2 3 2 29 2" xfId="43592"/>
    <cellStyle name="20% - Accent5 2 3 2 3" xfId="2121"/>
    <cellStyle name="20% - Accent5 2 3 2 3 2" xfId="4417"/>
    <cellStyle name="20% - Accent5 2 3 2 3 2 2" xfId="27192"/>
    <cellStyle name="20% - Accent5 2 3 2 3 3" xfId="24896"/>
    <cellStyle name="20% - Accent5 2 3 2 30" xfId="21473"/>
    <cellStyle name="20% - Accent5 2 3 2 30 2" xfId="44248"/>
    <cellStyle name="20% - Accent5 2 3 2 31" xfId="22129"/>
    <cellStyle name="20% - Accent5 2 3 2 31 2" xfId="44904"/>
    <cellStyle name="20% - Accent5 2 3 2 32" xfId="22785"/>
    <cellStyle name="20% - Accent5 2 3 2 32 2" xfId="45560"/>
    <cellStyle name="20% - Accent5 2 3 2 33" xfId="23584"/>
    <cellStyle name="20% - Accent5 2 3 2 4" xfId="5073"/>
    <cellStyle name="20% - Accent5 2 3 2 4 2" xfId="27848"/>
    <cellStyle name="20% - Accent5 2 3 2 5" xfId="5729"/>
    <cellStyle name="20% - Accent5 2 3 2 5 2" xfId="28504"/>
    <cellStyle name="20% - Accent5 2 3 2 6" xfId="6385"/>
    <cellStyle name="20% - Accent5 2 3 2 6 2" xfId="29160"/>
    <cellStyle name="20% - Accent5 2 3 2 7" xfId="3105"/>
    <cellStyle name="20% - Accent5 2 3 2 7 2" xfId="25880"/>
    <cellStyle name="20% - Accent5 2 3 2 8" xfId="7041"/>
    <cellStyle name="20% - Accent5 2 3 2 8 2" xfId="29816"/>
    <cellStyle name="20% - Accent5 2 3 2 9" xfId="7697"/>
    <cellStyle name="20% - Accent5 2 3 2 9 2" xfId="30472"/>
    <cellStyle name="20% - Accent5 2 3 20" xfId="13273"/>
    <cellStyle name="20% - Accent5 2 3 20 2" xfId="36048"/>
    <cellStyle name="20% - Accent5 2 3 21" xfId="13929"/>
    <cellStyle name="20% - Accent5 2 3 21 2" xfId="36704"/>
    <cellStyle name="20% - Accent5 2 3 22" xfId="14585"/>
    <cellStyle name="20% - Accent5 2 3 22 2" xfId="37360"/>
    <cellStyle name="20% - Accent5 2 3 23" xfId="15241"/>
    <cellStyle name="20% - Accent5 2 3 23 2" xfId="38016"/>
    <cellStyle name="20% - Accent5 2 3 24" xfId="15897"/>
    <cellStyle name="20% - Accent5 2 3 24 2" xfId="38672"/>
    <cellStyle name="20% - Accent5 2 3 25" xfId="16553"/>
    <cellStyle name="20% - Accent5 2 3 25 2" xfId="39328"/>
    <cellStyle name="20% - Accent5 2 3 26" xfId="17209"/>
    <cellStyle name="20% - Accent5 2 3 26 2" xfId="39984"/>
    <cellStyle name="20% - Accent5 2 3 27" xfId="17865"/>
    <cellStyle name="20% - Accent5 2 3 27 2" xfId="40640"/>
    <cellStyle name="20% - Accent5 2 3 28" xfId="18521"/>
    <cellStyle name="20% - Accent5 2 3 28 2" xfId="41296"/>
    <cellStyle name="20% - Accent5 2 3 29" xfId="19177"/>
    <cellStyle name="20% - Accent5 2 3 29 2" xfId="41952"/>
    <cellStyle name="20% - Accent5 2 3 3" xfId="1137"/>
    <cellStyle name="20% - Accent5 2 3 3 2" xfId="2777"/>
    <cellStyle name="20% - Accent5 2 3 3 2 2" xfId="25552"/>
    <cellStyle name="20% - Accent5 2 3 3 3" xfId="23912"/>
    <cellStyle name="20% - Accent5 2 3 30" xfId="19833"/>
    <cellStyle name="20% - Accent5 2 3 30 2" xfId="42608"/>
    <cellStyle name="20% - Accent5 2 3 31" xfId="20489"/>
    <cellStyle name="20% - Accent5 2 3 31 2" xfId="43264"/>
    <cellStyle name="20% - Accent5 2 3 32" xfId="21145"/>
    <cellStyle name="20% - Accent5 2 3 32 2" xfId="43920"/>
    <cellStyle name="20% - Accent5 2 3 33" xfId="21801"/>
    <cellStyle name="20% - Accent5 2 3 33 2" xfId="44576"/>
    <cellStyle name="20% - Accent5 2 3 34" xfId="22457"/>
    <cellStyle name="20% - Accent5 2 3 34 2" xfId="45232"/>
    <cellStyle name="20% - Accent5 2 3 35" xfId="23256"/>
    <cellStyle name="20% - Accent5 2 3 4" xfId="1793"/>
    <cellStyle name="20% - Accent5 2 3 4 2" xfId="3433"/>
    <cellStyle name="20% - Accent5 2 3 4 2 2" xfId="26208"/>
    <cellStyle name="20% - Accent5 2 3 4 3" xfId="24568"/>
    <cellStyle name="20% - Accent5 2 3 5" xfId="4089"/>
    <cellStyle name="20% - Accent5 2 3 5 2" xfId="26864"/>
    <cellStyle name="20% - Accent5 2 3 6" xfId="4745"/>
    <cellStyle name="20% - Accent5 2 3 6 2" xfId="27520"/>
    <cellStyle name="20% - Accent5 2 3 7" xfId="5401"/>
    <cellStyle name="20% - Accent5 2 3 7 2" xfId="28176"/>
    <cellStyle name="20% - Accent5 2 3 8" xfId="6057"/>
    <cellStyle name="20% - Accent5 2 3 8 2" xfId="28832"/>
    <cellStyle name="20% - Accent5 2 3 9" xfId="2449"/>
    <cellStyle name="20% - Accent5 2 3 9 2" xfId="25224"/>
    <cellStyle name="20% - Accent5 2 30" xfId="18336"/>
    <cellStyle name="20% - Accent5 2 30 2" xfId="41111"/>
    <cellStyle name="20% - Accent5 2 31" xfId="18992"/>
    <cellStyle name="20% - Accent5 2 31 2" xfId="41767"/>
    <cellStyle name="20% - Accent5 2 32" xfId="19648"/>
    <cellStyle name="20% - Accent5 2 32 2" xfId="42423"/>
    <cellStyle name="20% - Accent5 2 33" xfId="20304"/>
    <cellStyle name="20% - Accent5 2 33 2" xfId="43079"/>
    <cellStyle name="20% - Accent5 2 34" xfId="20960"/>
    <cellStyle name="20% - Accent5 2 34 2" xfId="43735"/>
    <cellStyle name="20% - Accent5 2 35" xfId="21616"/>
    <cellStyle name="20% - Accent5 2 35 2" xfId="44391"/>
    <cellStyle name="20% - Accent5 2 36" xfId="22272"/>
    <cellStyle name="20% - Accent5 2 36 2" xfId="45047"/>
    <cellStyle name="20% - Accent5 2 37" xfId="211"/>
    <cellStyle name="20% - Accent5 2 38" xfId="22928"/>
    <cellStyle name="20% - Accent5 2 4" xfId="624"/>
    <cellStyle name="20% - Accent5 2 4 10" xfId="8168"/>
    <cellStyle name="20% - Accent5 2 4 10 2" xfId="30943"/>
    <cellStyle name="20% - Accent5 2 4 11" xfId="8824"/>
    <cellStyle name="20% - Accent5 2 4 11 2" xfId="31599"/>
    <cellStyle name="20% - Accent5 2 4 12" xfId="9480"/>
    <cellStyle name="20% - Accent5 2 4 12 2" xfId="32255"/>
    <cellStyle name="20% - Accent5 2 4 13" xfId="10136"/>
    <cellStyle name="20% - Accent5 2 4 13 2" xfId="32911"/>
    <cellStyle name="20% - Accent5 2 4 14" xfId="10792"/>
    <cellStyle name="20% - Accent5 2 4 14 2" xfId="33567"/>
    <cellStyle name="20% - Accent5 2 4 15" xfId="11448"/>
    <cellStyle name="20% - Accent5 2 4 15 2" xfId="34223"/>
    <cellStyle name="20% - Accent5 2 4 16" xfId="12104"/>
    <cellStyle name="20% - Accent5 2 4 16 2" xfId="34879"/>
    <cellStyle name="20% - Accent5 2 4 17" xfId="12760"/>
    <cellStyle name="20% - Accent5 2 4 17 2" xfId="35535"/>
    <cellStyle name="20% - Accent5 2 4 18" xfId="13416"/>
    <cellStyle name="20% - Accent5 2 4 18 2" xfId="36191"/>
    <cellStyle name="20% - Accent5 2 4 19" xfId="14072"/>
    <cellStyle name="20% - Accent5 2 4 19 2" xfId="36847"/>
    <cellStyle name="20% - Accent5 2 4 2" xfId="1280"/>
    <cellStyle name="20% - Accent5 2 4 2 2" xfId="3576"/>
    <cellStyle name="20% - Accent5 2 4 2 2 2" xfId="26351"/>
    <cellStyle name="20% - Accent5 2 4 2 3" xfId="24055"/>
    <cellStyle name="20% - Accent5 2 4 20" xfId="14728"/>
    <cellStyle name="20% - Accent5 2 4 20 2" xfId="37503"/>
    <cellStyle name="20% - Accent5 2 4 21" xfId="15384"/>
    <cellStyle name="20% - Accent5 2 4 21 2" xfId="38159"/>
    <cellStyle name="20% - Accent5 2 4 22" xfId="16040"/>
    <cellStyle name="20% - Accent5 2 4 22 2" xfId="38815"/>
    <cellStyle name="20% - Accent5 2 4 23" xfId="16696"/>
    <cellStyle name="20% - Accent5 2 4 23 2" xfId="39471"/>
    <cellStyle name="20% - Accent5 2 4 24" xfId="17352"/>
    <cellStyle name="20% - Accent5 2 4 24 2" xfId="40127"/>
    <cellStyle name="20% - Accent5 2 4 25" xfId="18008"/>
    <cellStyle name="20% - Accent5 2 4 25 2" xfId="40783"/>
    <cellStyle name="20% - Accent5 2 4 26" xfId="18664"/>
    <cellStyle name="20% - Accent5 2 4 26 2" xfId="41439"/>
    <cellStyle name="20% - Accent5 2 4 27" xfId="19320"/>
    <cellStyle name="20% - Accent5 2 4 27 2" xfId="42095"/>
    <cellStyle name="20% - Accent5 2 4 28" xfId="19976"/>
    <cellStyle name="20% - Accent5 2 4 28 2" xfId="42751"/>
    <cellStyle name="20% - Accent5 2 4 29" xfId="20632"/>
    <cellStyle name="20% - Accent5 2 4 29 2" xfId="43407"/>
    <cellStyle name="20% - Accent5 2 4 3" xfId="1936"/>
    <cellStyle name="20% - Accent5 2 4 3 2" xfId="4232"/>
    <cellStyle name="20% - Accent5 2 4 3 2 2" xfId="27007"/>
    <cellStyle name="20% - Accent5 2 4 3 3" xfId="24711"/>
    <cellStyle name="20% - Accent5 2 4 30" xfId="21288"/>
    <cellStyle name="20% - Accent5 2 4 30 2" xfId="44063"/>
    <cellStyle name="20% - Accent5 2 4 31" xfId="21944"/>
    <cellStyle name="20% - Accent5 2 4 31 2" xfId="44719"/>
    <cellStyle name="20% - Accent5 2 4 32" xfId="22600"/>
    <cellStyle name="20% - Accent5 2 4 32 2" xfId="45375"/>
    <cellStyle name="20% - Accent5 2 4 33" xfId="23399"/>
    <cellStyle name="20% - Accent5 2 4 4" xfId="4888"/>
    <cellStyle name="20% - Accent5 2 4 4 2" xfId="27663"/>
    <cellStyle name="20% - Accent5 2 4 5" xfId="5544"/>
    <cellStyle name="20% - Accent5 2 4 5 2" xfId="28319"/>
    <cellStyle name="20% - Accent5 2 4 6" xfId="6200"/>
    <cellStyle name="20% - Accent5 2 4 6 2" xfId="28975"/>
    <cellStyle name="20% - Accent5 2 4 7" xfId="2920"/>
    <cellStyle name="20% - Accent5 2 4 7 2" xfId="25695"/>
    <cellStyle name="20% - Accent5 2 4 8" xfId="6856"/>
    <cellStyle name="20% - Accent5 2 4 8 2" xfId="29631"/>
    <cellStyle name="20% - Accent5 2 4 9" xfId="7512"/>
    <cellStyle name="20% - Accent5 2 4 9 2" xfId="30287"/>
    <cellStyle name="20% - Accent5 2 5" xfId="297"/>
    <cellStyle name="20% - Accent5 2 5 2" xfId="2592"/>
    <cellStyle name="20% - Accent5 2 5 2 2" xfId="25367"/>
    <cellStyle name="20% - Accent5 2 5 3" xfId="23071"/>
    <cellStyle name="20% - Accent5 2 6" xfId="952"/>
    <cellStyle name="20% - Accent5 2 6 2" xfId="3248"/>
    <cellStyle name="20% - Accent5 2 6 2 2" xfId="26023"/>
    <cellStyle name="20% - Accent5 2 6 3" xfId="23727"/>
    <cellStyle name="20% - Accent5 2 7" xfId="1608"/>
    <cellStyle name="20% - Accent5 2 7 2" xfId="3904"/>
    <cellStyle name="20% - Accent5 2 7 2 2" xfId="26679"/>
    <cellStyle name="20% - Accent5 2 7 3" xfId="24383"/>
    <cellStyle name="20% - Accent5 2 8" xfId="4560"/>
    <cellStyle name="20% - Accent5 2 8 2" xfId="27335"/>
    <cellStyle name="20% - Accent5 2 9" xfId="5216"/>
    <cellStyle name="20% - Accent5 2 9 2" xfId="27991"/>
    <cellStyle name="20% - Accent5 20" xfId="7168"/>
    <cellStyle name="20% - Accent5 20 2" xfId="29943"/>
    <cellStyle name="20% - Accent5 21" xfId="7824"/>
    <cellStyle name="20% - Accent5 21 2" xfId="30599"/>
    <cellStyle name="20% - Accent5 22" xfId="8480"/>
    <cellStyle name="20% - Accent5 22 2" xfId="31255"/>
    <cellStyle name="20% - Accent5 23" xfId="9136"/>
    <cellStyle name="20% - Accent5 23 2" xfId="31911"/>
    <cellStyle name="20% - Accent5 24" xfId="9792"/>
    <cellStyle name="20% - Accent5 24 2" xfId="32567"/>
    <cellStyle name="20% - Accent5 25" xfId="10448"/>
    <cellStyle name="20% - Accent5 25 2" xfId="33223"/>
    <cellStyle name="20% - Accent5 26" xfId="11104"/>
    <cellStyle name="20% - Accent5 26 2" xfId="33879"/>
    <cellStyle name="20% - Accent5 27" xfId="11760"/>
    <cellStyle name="20% - Accent5 27 2" xfId="34535"/>
    <cellStyle name="20% - Accent5 28" xfId="12416"/>
    <cellStyle name="20% - Accent5 28 2" xfId="35191"/>
    <cellStyle name="20% - Accent5 29" xfId="13072"/>
    <cellStyle name="20% - Accent5 29 2" xfId="35847"/>
    <cellStyle name="20% - Accent5 3" xfId="60"/>
    <cellStyle name="20% - Accent5 3 10" xfId="5887"/>
    <cellStyle name="20% - Accent5 3 10 2" xfId="28662"/>
    <cellStyle name="20% - Accent5 3 11" xfId="2279"/>
    <cellStyle name="20% - Accent5 3 11 2" xfId="25054"/>
    <cellStyle name="20% - Accent5 3 12" xfId="6543"/>
    <cellStyle name="20% - Accent5 3 12 2" xfId="29318"/>
    <cellStyle name="20% - Accent5 3 13" xfId="7199"/>
    <cellStyle name="20% - Accent5 3 13 2" xfId="29974"/>
    <cellStyle name="20% - Accent5 3 14" xfId="7855"/>
    <cellStyle name="20% - Accent5 3 14 2" xfId="30630"/>
    <cellStyle name="20% - Accent5 3 15" xfId="8511"/>
    <cellStyle name="20% - Accent5 3 15 2" xfId="31286"/>
    <cellStyle name="20% - Accent5 3 16" xfId="9167"/>
    <cellStyle name="20% - Accent5 3 16 2" xfId="31942"/>
    <cellStyle name="20% - Accent5 3 17" xfId="9823"/>
    <cellStyle name="20% - Accent5 3 17 2" xfId="32598"/>
    <cellStyle name="20% - Accent5 3 18" xfId="10479"/>
    <cellStyle name="20% - Accent5 3 18 2" xfId="33254"/>
    <cellStyle name="20% - Accent5 3 19" xfId="11135"/>
    <cellStyle name="20% - Accent5 3 19 2" xfId="33910"/>
    <cellStyle name="20% - Accent5 3 2" xfId="138"/>
    <cellStyle name="20% - Accent5 3 2 10" xfId="2334"/>
    <cellStyle name="20% - Accent5 3 2 10 2" xfId="25109"/>
    <cellStyle name="20% - Accent5 3 2 11" xfId="6598"/>
    <cellStyle name="20% - Accent5 3 2 11 2" xfId="29373"/>
    <cellStyle name="20% - Accent5 3 2 12" xfId="7254"/>
    <cellStyle name="20% - Accent5 3 2 12 2" xfId="30029"/>
    <cellStyle name="20% - Accent5 3 2 13" xfId="7910"/>
    <cellStyle name="20% - Accent5 3 2 13 2" xfId="30685"/>
    <cellStyle name="20% - Accent5 3 2 14" xfId="8566"/>
    <cellStyle name="20% - Accent5 3 2 14 2" xfId="31341"/>
    <cellStyle name="20% - Accent5 3 2 15" xfId="9222"/>
    <cellStyle name="20% - Accent5 3 2 15 2" xfId="31997"/>
    <cellStyle name="20% - Accent5 3 2 16" xfId="9878"/>
    <cellStyle name="20% - Accent5 3 2 16 2" xfId="32653"/>
    <cellStyle name="20% - Accent5 3 2 17" xfId="10534"/>
    <cellStyle name="20% - Accent5 3 2 17 2" xfId="33309"/>
    <cellStyle name="20% - Accent5 3 2 18" xfId="11190"/>
    <cellStyle name="20% - Accent5 3 2 18 2" xfId="33965"/>
    <cellStyle name="20% - Accent5 3 2 19" xfId="11846"/>
    <cellStyle name="20% - Accent5 3 2 19 2" xfId="34621"/>
    <cellStyle name="20% - Accent5 3 2 2" xfId="550"/>
    <cellStyle name="20% - Accent5 3 2 2 10" xfId="6783"/>
    <cellStyle name="20% - Accent5 3 2 2 10 2" xfId="29558"/>
    <cellStyle name="20% - Accent5 3 2 2 11" xfId="7439"/>
    <cellStyle name="20% - Accent5 3 2 2 11 2" xfId="30214"/>
    <cellStyle name="20% - Accent5 3 2 2 12" xfId="8095"/>
    <cellStyle name="20% - Accent5 3 2 2 12 2" xfId="30870"/>
    <cellStyle name="20% - Accent5 3 2 2 13" xfId="8751"/>
    <cellStyle name="20% - Accent5 3 2 2 13 2" xfId="31526"/>
    <cellStyle name="20% - Accent5 3 2 2 14" xfId="9407"/>
    <cellStyle name="20% - Accent5 3 2 2 14 2" xfId="32182"/>
    <cellStyle name="20% - Accent5 3 2 2 15" xfId="10063"/>
    <cellStyle name="20% - Accent5 3 2 2 15 2" xfId="32838"/>
    <cellStyle name="20% - Accent5 3 2 2 16" xfId="10719"/>
    <cellStyle name="20% - Accent5 3 2 2 16 2" xfId="33494"/>
    <cellStyle name="20% - Accent5 3 2 2 17" xfId="11375"/>
    <cellStyle name="20% - Accent5 3 2 2 17 2" xfId="34150"/>
    <cellStyle name="20% - Accent5 3 2 2 18" xfId="12031"/>
    <cellStyle name="20% - Accent5 3 2 2 18 2" xfId="34806"/>
    <cellStyle name="20% - Accent5 3 2 2 19" xfId="12687"/>
    <cellStyle name="20% - Accent5 3 2 2 19 2" xfId="35462"/>
    <cellStyle name="20% - Accent5 3 2 2 2" xfId="879"/>
    <cellStyle name="20% - Accent5 3 2 2 2 10" xfId="8423"/>
    <cellStyle name="20% - Accent5 3 2 2 2 10 2" xfId="31198"/>
    <cellStyle name="20% - Accent5 3 2 2 2 11" xfId="9079"/>
    <cellStyle name="20% - Accent5 3 2 2 2 11 2" xfId="31854"/>
    <cellStyle name="20% - Accent5 3 2 2 2 12" xfId="9735"/>
    <cellStyle name="20% - Accent5 3 2 2 2 12 2" xfId="32510"/>
    <cellStyle name="20% - Accent5 3 2 2 2 13" xfId="10391"/>
    <cellStyle name="20% - Accent5 3 2 2 2 13 2" xfId="33166"/>
    <cellStyle name="20% - Accent5 3 2 2 2 14" xfId="11047"/>
    <cellStyle name="20% - Accent5 3 2 2 2 14 2" xfId="33822"/>
    <cellStyle name="20% - Accent5 3 2 2 2 15" xfId="11703"/>
    <cellStyle name="20% - Accent5 3 2 2 2 15 2" xfId="34478"/>
    <cellStyle name="20% - Accent5 3 2 2 2 16" xfId="12359"/>
    <cellStyle name="20% - Accent5 3 2 2 2 16 2" xfId="35134"/>
    <cellStyle name="20% - Accent5 3 2 2 2 17" xfId="13015"/>
    <cellStyle name="20% - Accent5 3 2 2 2 17 2" xfId="35790"/>
    <cellStyle name="20% - Accent5 3 2 2 2 18" xfId="13671"/>
    <cellStyle name="20% - Accent5 3 2 2 2 18 2" xfId="36446"/>
    <cellStyle name="20% - Accent5 3 2 2 2 19" xfId="14327"/>
    <cellStyle name="20% - Accent5 3 2 2 2 19 2" xfId="37102"/>
    <cellStyle name="20% - Accent5 3 2 2 2 2" xfId="1535"/>
    <cellStyle name="20% - Accent5 3 2 2 2 2 2" xfId="3831"/>
    <cellStyle name="20% - Accent5 3 2 2 2 2 2 2" xfId="26606"/>
    <cellStyle name="20% - Accent5 3 2 2 2 2 3" xfId="24310"/>
    <cellStyle name="20% - Accent5 3 2 2 2 20" xfId="14983"/>
    <cellStyle name="20% - Accent5 3 2 2 2 20 2" xfId="37758"/>
    <cellStyle name="20% - Accent5 3 2 2 2 21" xfId="15639"/>
    <cellStyle name="20% - Accent5 3 2 2 2 21 2" xfId="38414"/>
    <cellStyle name="20% - Accent5 3 2 2 2 22" xfId="16295"/>
    <cellStyle name="20% - Accent5 3 2 2 2 22 2" xfId="39070"/>
    <cellStyle name="20% - Accent5 3 2 2 2 23" xfId="16951"/>
    <cellStyle name="20% - Accent5 3 2 2 2 23 2" xfId="39726"/>
    <cellStyle name="20% - Accent5 3 2 2 2 24" xfId="17607"/>
    <cellStyle name="20% - Accent5 3 2 2 2 24 2" xfId="40382"/>
    <cellStyle name="20% - Accent5 3 2 2 2 25" xfId="18263"/>
    <cellStyle name="20% - Accent5 3 2 2 2 25 2" xfId="41038"/>
    <cellStyle name="20% - Accent5 3 2 2 2 26" xfId="18919"/>
    <cellStyle name="20% - Accent5 3 2 2 2 26 2" xfId="41694"/>
    <cellStyle name="20% - Accent5 3 2 2 2 27" xfId="19575"/>
    <cellStyle name="20% - Accent5 3 2 2 2 27 2" xfId="42350"/>
    <cellStyle name="20% - Accent5 3 2 2 2 28" xfId="20231"/>
    <cellStyle name="20% - Accent5 3 2 2 2 28 2" xfId="43006"/>
    <cellStyle name="20% - Accent5 3 2 2 2 29" xfId="20887"/>
    <cellStyle name="20% - Accent5 3 2 2 2 29 2" xfId="43662"/>
    <cellStyle name="20% - Accent5 3 2 2 2 3" xfId="2191"/>
    <cellStyle name="20% - Accent5 3 2 2 2 3 2" xfId="4487"/>
    <cellStyle name="20% - Accent5 3 2 2 2 3 2 2" xfId="27262"/>
    <cellStyle name="20% - Accent5 3 2 2 2 3 3" xfId="24966"/>
    <cellStyle name="20% - Accent5 3 2 2 2 30" xfId="21543"/>
    <cellStyle name="20% - Accent5 3 2 2 2 30 2" xfId="44318"/>
    <cellStyle name="20% - Accent5 3 2 2 2 31" xfId="22199"/>
    <cellStyle name="20% - Accent5 3 2 2 2 31 2" xfId="44974"/>
    <cellStyle name="20% - Accent5 3 2 2 2 32" xfId="22855"/>
    <cellStyle name="20% - Accent5 3 2 2 2 32 2" xfId="45630"/>
    <cellStyle name="20% - Accent5 3 2 2 2 33" xfId="23654"/>
    <cellStyle name="20% - Accent5 3 2 2 2 4" xfId="5143"/>
    <cellStyle name="20% - Accent5 3 2 2 2 4 2" xfId="27918"/>
    <cellStyle name="20% - Accent5 3 2 2 2 5" xfId="5799"/>
    <cellStyle name="20% - Accent5 3 2 2 2 5 2" xfId="28574"/>
    <cellStyle name="20% - Accent5 3 2 2 2 6" xfId="6455"/>
    <cellStyle name="20% - Accent5 3 2 2 2 6 2" xfId="29230"/>
    <cellStyle name="20% - Accent5 3 2 2 2 7" xfId="3175"/>
    <cellStyle name="20% - Accent5 3 2 2 2 7 2" xfId="25950"/>
    <cellStyle name="20% - Accent5 3 2 2 2 8" xfId="7111"/>
    <cellStyle name="20% - Accent5 3 2 2 2 8 2" xfId="29886"/>
    <cellStyle name="20% - Accent5 3 2 2 2 9" xfId="7767"/>
    <cellStyle name="20% - Accent5 3 2 2 2 9 2" xfId="30542"/>
    <cellStyle name="20% - Accent5 3 2 2 20" xfId="13343"/>
    <cellStyle name="20% - Accent5 3 2 2 20 2" xfId="36118"/>
    <cellStyle name="20% - Accent5 3 2 2 21" xfId="13999"/>
    <cellStyle name="20% - Accent5 3 2 2 21 2" xfId="36774"/>
    <cellStyle name="20% - Accent5 3 2 2 22" xfId="14655"/>
    <cellStyle name="20% - Accent5 3 2 2 22 2" xfId="37430"/>
    <cellStyle name="20% - Accent5 3 2 2 23" xfId="15311"/>
    <cellStyle name="20% - Accent5 3 2 2 23 2" xfId="38086"/>
    <cellStyle name="20% - Accent5 3 2 2 24" xfId="15967"/>
    <cellStyle name="20% - Accent5 3 2 2 24 2" xfId="38742"/>
    <cellStyle name="20% - Accent5 3 2 2 25" xfId="16623"/>
    <cellStyle name="20% - Accent5 3 2 2 25 2" xfId="39398"/>
    <cellStyle name="20% - Accent5 3 2 2 26" xfId="17279"/>
    <cellStyle name="20% - Accent5 3 2 2 26 2" xfId="40054"/>
    <cellStyle name="20% - Accent5 3 2 2 27" xfId="17935"/>
    <cellStyle name="20% - Accent5 3 2 2 27 2" xfId="40710"/>
    <cellStyle name="20% - Accent5 3 2 2 28" xfId="18591"/>
    <cellStyle name="20% - Accent5 3 2 2 28 2" xfId="41366"/>
    <cellStyle name="20% - Accent5 3 2 2 29" xfId="19247"/>
    <cellStyle name="20% - Accent5 3 2 2 29 2" xfId="42022"/>
    <cellStyle name="20% - Accent5 3 2 2 3" xfId="1207"/>
    <cellStyle name="20% - Accent5 3 2 2 3 2" xfId="2847"/>
    <cellStyle name="20% - Accent5 3 2 2 3 2 2" xfId="25622"/>
    <cellStyle name="20% - Accent5 3 2 2 3 3" xfId="23982"/>
    <cellStyle name="20% - Accent5 3 2 2 30" xfId="19903"/>
    <cellStyle name="20% - Accent5 3 2 2 30 2" xfId="42678"/>
    <cellStyle name="20% - Accent5 3 2 2 31" xfId="20559"/>
    <cellStyle name="20% - Accent5 3 2 2 31 2" xfId="43334"/>
    <cellStyle name="20% - Accent5 3 2 2 32" xfId="21215"/>
    <cellStyle name="20% - Accent5 3 2 2 32 2" xfId="43990"/>
    <cellStyle name="20% - Accent5 3 2 2 33" xfId="21871"/>
    <cellStyle name="20% - Accent5 3 2 2 33 2" xfId="44646"/>
    <cellStyle name="20% - Accent5 3 2 2 34" xfId="22527"/>
    <cellStyle name="20% - Accent5 3 2 2 34 2" xfId="45302"/>
    <cellStyle name="20% - Accent5 3 2 2 35" xfId="23326"/>
    <cellStyle name="20% - Accent5 3 2 2 4" xfId="1863"/>
    <cellStyle name="20% - Accent5 3 2 2 4 2" xfId="3503"/>
    <cellStyle name="20% - Accent5 3 2 2 4 2 2" xfId="26278"/>
    <cellStyle name="20% - Accent5 3 2 2 4 3" xfId="24638"/>
    <cellStyle name="20% - Accent5 3 2 2 5" xfId="4159"/>
    <cellStyle name="20% - Accent5 3 2 2 5 2" xfId="26934"/>
    <cellStyle name="20% - Accent5 3 2 2 6" xfId="4815"/>
    <cellStyle name="20% - Accent5 3 2 2 6 2" xfId="27590"/>
    <cellStyle name="20% - Accent5 3 2 2 7" xfId="5471"/>
    <cellStyle name="20% - Accent5 3 2 2 7 2" xfId="28246"/>
    <cellStyle name="20% - Accent5 3 2 2 8" xfId="6127"/>
    <cellStyle name="20% - Accent5 3 2 2 8 2" xfId="28902"/>
    <cellStyle name="20% - Accent5 3 2 2 9" xfId="2519"/>
    <cellStyle name="20% - Accent5 3 2 2 9 2" xfId="25294"/>
    <cellStyle name="20% - Accent5 3 2 20" xfId="12502"/>
    <cellStyle name="20% - Accent5 3 2 20 2" xfId="35277"/>
    <cellStyle name="20% - Accent5 3 2 21" xfId="13158"/>
    <cellStyle name="20% - Accent5 3 2 21 2" xfId="35933"/>
    <cellStyle name="20% - Accent5 3 2 22" xfId="13814"/>
    <cellStyle name="20% - Accent5 3 2 22 2" xfId="36589"/>
    <cellStyle name="20% - Accent5 3 2 23" xfId="14470"/>
    <cellStyle name="20% - Accent5 3 2 23 2" xfId="37245"/>
    <cellStyle name="20% - Accent5 3 2 24" xfId="15126"/>
    <cellStyle name="20% - Accent5 3 2 24 2" xfId="37901"/>
    <cellStyle name="20% - Accent5 3 2 25" xfId="15782"/>
    <cellStyle name="20% - Accent5 3 2 25 2" xfId="38557"/>
    <cellStyle name="20% - Accent5 3 2 26" xfId="16438"/>
    <cellStyle name="20% - Accent5 3 2 26 2" xfId="39213"/>
    <cellStyle name="20% - Accent5 3 2 27" xfId="17094"/>
    <cellStyle name="20% - Accent5 3 2 27 2" xfId="39869"/>
    <cellStyle name="20% - Accent5 3 2 28" xfId="17750"/>
    <cellStyle name="20% - Accent5 3 2 28 2" xfId="40525"/>
    <cellStyle name="20% - Accent5 3 2 29" xfId="18406"/>
    <cellStyle name="20% - Accent5 3 2 29 2" xfId="41181"/>
    <cellStyle name="20% - Accent5 3 2 3" xfId="694"/>
    <cellStyle name="20% - Accent5 3 2 3 10" xfId="8238"/>
    <cellStyle name="20% - Accent5 3 2 3 10 2" xfId="31013"/>
    <cellStyle name="20% - Accent5 3 2 3 11" xfId="8894"/>
    <cellStyle name="20% - Accent5 3 2 3 11 2" xfId="31669"/>
    <cellStyle name="20% - Accent5 3 2 3 12" xfId="9550"/>
    <cellStyle name="20% - Accent5 3 2 3 12 2" xfId="32325"/>
    <cellStyle name="20% - Accent5 3 2 3 13" xfId="10206"/>
    <cellStyle name="20% - Accent5 3 2 3 13 2" xfId="32981"/>
    <cellStyle name="20% - Accent5 3 2 3 14" xfId="10862"/>
    <cellStyle name="20% - Accent5 3 2 3 14 2" xfId="33637"/>
    <cellStyle name="20% - Accent5 3 2 3 15" xfId="11518"/>
    <cellStyle name="20% - Accent5 3 2 3 15 2" xfId="34293"/>
    <cellStyle name="20% - Accent5 3 2 3 16" xfId="12174"/>
    <cellStyle name="20% - Accent5 3 2 3 16 2" xfId="34949"/>
    <cellStyle name="20% - Accent5 3 2 3 17" xfId="12830"/>
    <cellStyle name="20% - Accent5 3 2 3 17 2" xfId="35605"/>
    <cellStyle name="20% - Accent5 3 2 3 18" xfId="13486"/>
    <cellStyle name="20% - Accent5 3 2 3 18 2" xfId="36261"/>
    <cellStyle name="20% - Accent5 3 2 3 19" xfId="14142"/>
    <cellStyle name="20% - Accent5 3 2 3 19 2" xfId="36917"/>
    <cellStyle name="20% - Accent5 3 2 3 2" xfId="1350"/>
    <cellStyle name="20% - Accent5 3 2 3 2 2" xfId="3646"/>
    <cellStyle name="20% - Accent5 3 2 3 2 2 2" xfId="26421"/>
    <cellStyle name="20% - Accent5 3 2 3 2 3" xfId="24125"/>
    <cellStyle name="20% - Accent5 3 2 3 20" xfId="14798"/>
    <cellStyle name="20% - Accent5 3 2 3 20 2" xfId="37573"/>
    <cellStyle name="20% - Accent5 3 2 3 21" xfId="15454"/>
    <cellStyle name="20% - Accent5 3 2 3 21 2" xfId="38229"/>
    <cellStyle name="20% - Accent5 3 2 3 22" xfId="16110"/>
    <cellStyle name="20% - Accent5 3 2 3 22 2" xfId="38885"/>
    <cellStyle name="20% - Accent5 3 2 3 23" xfId="16766"/>
    <cellStyle name="20% - Accent5 3 2 3 23 2" xfId="39541"/>
    <cellStyle name="20% - Accent5 3 2 3 24" xfId="17422"/>
    <cellStyle name="20% - Accent5 3 2 3 24 2" xfId="40197"/>
    <cellStyle name="20% - Accent5 3 2 3 25" xfId="18078"/>
    <cellStyle name="20% - Accent5 3 2 3 25 2" xfId="40853"/>
    <cellStyle name="20% - Accent5 3 2 3 26" xfId="18734"/>
    <cellStyle name="20% - Accent5 3 2 3 26 2" xfId="41509"/>
    <cellStyle name="20% - Accent5 3 2 3 27" xfId="19390"/>
    <cellStyle name="20% - Accent5 3 2 3 27 2" xfId="42165"/>
    <cellStyle name="20% - Accent5 3 2 3 28" xfId="20046"/>
    <cellStyle name="20% - Accent5 3 2 3 28 2" xfId="42821"/>
    <cellStyle name="20% - Accent5 3 2 3 29" xfId="20702"/>
    <cellStyle name="20% - Accent5 3 2 3 29 2" xfId="43477"/>
    <cellStyle name="20% - Accent5 3 2 3 3" xfId="2006"/>
    <cellStyle name="20% - Accent5 3 2 3 3 2" xfId="4302"/>
    <cellStyle name="20% - Accent5 3 2 3 3 2 2" xfId="27077"/>
    <cellStyle name="20% - Accent5 3 2 3 3 3" xfId="24781"/>
    <cellStyle name="20% - Accent5 3 2 3 30" xfId="21358"/>
    <cellStyle name="20% - Accent5 3 2 3 30 2" xfId="44133"/>
    <cellStyle name="20% - Accent5 3 2 3 31" xfId="22014"/>
    <cellStyle name="20% - Accent5 3 2 3 31 2" xfId="44789"/>
    <cellStyle name="20% - Accent5 3 2 3 32" xfId="22670"/>
    <cellStyle name="20% - Accent5 3 2 3 32 2" xfId="45445"/>
    <cellStyle name="20% - Accent5 3 2 3 33" xfId="23469"/>
    <cellStyle name="20% - Accent5 3 2 3 4" xfId="4958"/>
    <cellStyle name="20% - Accent5 3 2 3 4 2" xfId="27733"/>
    <cellStyle name="20% - Accent5 3 2 3 5" xfId="5614"/>
    <cellStyle name="20% - Accent5 3 2 3 5 2" xfId="28389"/>
    <cellStyle name="20% - Accent5 3 2 3 6" xfId="6270"/>
    <cellStyle name="20% - Accent5 3 2 3 6 2" xfId="29045"/>
    <cellStyle name="20% - Accent5 3 2 3 7" xfId="2990"/>
    <cellStyle name="20% - Accent5 3 2 3 7 2" xfId="25765"/>
    <cellStyle name="20% - Accent5 3 2 3 8" xfId="6926"/>
    <cellStyle name="20% - Accent5 3 2 3 8 2" xfId="29701"/>
    <cellStyle name="20% - Accent5 3 2 3 9" xfId="7582"/>
    <cellStyle name="20% - Accent5 3 2 3 9 2" xfId="30357"/>
    <cellStyle name="20% - Accent5 3 2 30" xfId="19062"/>
    <cellStyle name="20% - Accent5 3 2 30 2" xfId="41837"/>
    <cellStyle name="20% - Accent5 3 2 31" xfId="19718"/>
    <cellStyle name="20% - Accent5 3 2 31 2" xfId="42493"/>
    <cellStyle name="20% - Accent5 3 2 32" xfId="20374"/>
    <cellStyle name="20% - Accent5 3 2 32 2" xfId="43149"/>
    <cellStyle name="20% - Accent5 3 2 33" xfId="21030"/>
    <cellStyle name="20% - Accent5 3 2 33 2" xfId="43805"/>
    <cellStyle name="20% - Accent5 3 2 34" xfId="21686"/>
    <cellStyle name="20% - Accent5 3 2 34 2" xfId="44461"/>
    <cellStyle name="20% - Accent5 3 2 35" xfId="22342"/>
    <cellStyle name="20% - Accent5 3 2 35 2" xfId="45117"/>
    <cellStyle name="20% - Accent5 3 2 36" xfId="22998"/>
    <cellStyle name="20% - Accent5 3 2 4" xfId="367"/>
    <cellStyle name="20% - Accent5 3 2 4 2" xfId="2662"/>
    <cellStyle name="20% - Accent5 3 2 4 2 2" xfId="25437"/>
    <cellStyle name="20% - Accent5 3 2 4 3" xfId="23141"/>
    <cellStyle name="20% - Accent5 3 2 5" xfId="1022"/>
    <cellStyle name="20% - Accent5 3 2 5 2" xfId="3318"/>
    <cellStyle name="20% - Accent5 3 2 5 2 2" xfId="26093"/>
    <cellStyle name="20% - Accent5 3 2 5 3" xfId="23797"/>
    <cellStyle name="20% - Accent5 3 2 6" xfId="1678"/>
    <cellStyle name="20% - Accent5 3 2 6 2" xfId="3974"/>
    <cellStyle name="20% - Accent5 3 2 6 2 2" xfId="26749"/>
    <cellStyle name="20% - Accent5 3 2 6 3" xfId="24453"/>
    <cellStyle name="20% - Accent5 3 2 7" xfId="4630"/>
    <cellStyle name="20% - Accent5 3 2 7 2" xfId="27405"/>
    <cellStyle name="20% - Accent5 3 2 8" xfId="5286"/>
    <cellStyle name="20% - Accent5 3 2 8 2" xfId="28061"/>
    <cellStyle name="20% - Accent5 3 2 9" xfId="5942"/>
    <cellStyle name="20% - Accent5 3 2 9 2" xfId="28717"/>
    <cellStyle name="20% - Accent5 3 20" xfId="11791"/>
    <cellStyle name="20% - Accent5 3 20 2" xfId="34566"/>
    <cellStyle name="20% - Accent5 3 21" xfId="12447"/>
    <cellStyle name="20% - Accent5 3 21 2" xfId="35222"/>
    <cellStyle name="20% - Accent5 3 22" xfId="13103"/>
    <cellStyle name="20% - Accent5 3 22 2" xfId="35878"/>
    <cellStyle name="20% - Accent5 3 23" xfId="13759"/>
    <cellStyle name="20% - Accent5 3 23 2" xfId="36534"/>
    <cellStyle name="20% - Accent5 3 24" xfId="14415"/>
    <cellStyle name="20% - Accent5 3 24 2" xfId="37190"/>
    <cellStyle name="20% - Accent5 3 25" xfId="15071"/>
    <cellStyle name="20% - Accent5 3 25 2" xfId="37846"/>
    <cellStyle name="20% - Accent5 3 26" xfId="15727"/>
    <cellStyle name="20% - Accent5 3 26 2" xfId="38502"/>
    <cellStyle name="20% - Accent5 3 27" xfId="16383"/>
    <cellStyle name="20% - Accent5 3 27 2" xfId="39158"/>
    <cellStyle name="20% - Accent5 3 28" xfId="17039"/>
    <cellStyle name="20% - Accent5 3 28 2" xfId="39814"/>
    <cellStyle name="20% - Accent5 3 29" xfId="17695"/>
    <cellStyle name="20% - Accent5 3 29 2" xfId="40470"/>
    <cellStyle name="20% - Accent5 3 3" xfId="496"/>
    <cellStyle name="20% - Accent5 3 3 10" xfId="6728"/>
    <cellStyle name="20% - Accent5 3 3 10 2" xfId="29503"/>
    <cellStyle name="20% - Accent5 3 3 11" xfId="7384"/>
    <cellStyle name="20% - Accent5 3 3 11 2" xfId="30159"/>
    <cellStyle name="20% - Accent5 3 3 12" xfId="8040"/>
    <cellStyle name="20% - Accent5 3 3 12 2" xfId="30815"/>
    <cellStyle name="20% - Accent5 3 3 13" xfId="8696"/>
    <cellStyle name="20% - Accent5 3 3 13 2" xfId="31471"/>
    <cellStyle name="20% - Accent5 3 3 14" xfId="9352"/>
    <cellStyle name="20% - Accent5 3 3 14 2" xfId="32127"/>
    <cellStyle name="20% - Accent5 3 3 15" xfId="10008"/>
    <cellStyle name="20% - Accent5 3 3 15 2" xfId="32783"/>
    <cellStyle name="20% - Accent5 3 3 16" xfId="10664"/>
    <cellStyle name="20% - Accent5 3 3 16 2" xfId="33439"/>
    <cellStyle name="20% - Accent5 3 3 17" xfId="11320"/>
    <cellStyle name="20% - Accent5 3 3 17 2" xfId="34095"/>
    <cellStyle name="20% - Accent5 3 3 18" xfId="11976"/>
    <cellStyle name="20% - Accent5 3 3 18 2" xfId="34751"/>
    <cellStyle name="20% - Accent5 3 3 19" xfId="12632"/>
    <cellStyle name="20% - Accent5 3 3 19 2" xfId="35407"/>
    <cellStyle name="20% - Accent5 3 3 2" xfId="824"/>
    <cellStyle name="20% - Accent5 3 3 2 10" xfId="8368"/>
    <cellStyle name="20% - Accent5 3 3 2 10 2" xfId="31143"/>
    <cellStyle name="20% - Accent5 3 3 2 11" xfId="9024"/>
    <cellStyle name="20% - Accent5 3 3 2 11 2" xfId="31799"/>
    <cellStyle name="20% - Accent5 3 3 2 12" xfId="9680"/>
    <cellStyle name="20% - Accent5 3 3 2 12 2" xfId="32455"/>
    <cellStyle name="20% - Accent5 3 3 2 13" xfId="10336"/>
    <cellStyle name="20% - Accent5 3 3 2 13 2" xfId="33111"/>
    <cellStyle name="20% - Accent5 3 3 2 14" xfId="10992"/>
    <cellStyle name="20% - Accent5 3 3 2 14 2" xfId="33767"/>
    <cellStyle name="20% - Accent5 3 3 2 15" xfId="11648"/>
    <cellStyle name="20% - Accent5 3 3 2 15 2" xfId="34423"/>
    <cellStyle name="20% - Accent5 3 3 2 16" xfId="12304"/>
    <cellStyle name="20% - Accent5 3 3 2 16 2" xfId="35079"/>
    <cellStyle name="20% - Accent5 3 3 2 17" xfId="12960"/>
    <cellStyle name="20% - Accent5 3 3 2 17 2" xfId="35735"/>
    <cellStyle name="20% - Accent5 3 3 2 18" xfId="13616"/>
    <cellStyle name="20% - Accent5 3 3 2 18 2" xfId="36391"/>
    <cellStyle name="20% - Accent5 3 3 2 19" xfId="14272"/>
    <cellStyle name="20% - Accent5 3 3 2 19 2" xfId="37047"/>
    <cellStyle name="20% - Accent5 3 3 2 2" xfId="1480"/>
    <cellStyle name="20% - Accent5 3 3 2 2 2" xfId="3776"/>
    <cellStyle name="20% - Accent5 3 3 2 2 2 2" xfId="26551"/>
    <cellStyle name="20% - Accent5 3 3 2 2 3" xfId="24255"/>
    <cellStyle name="20% - Accent5 3 3 2 20" xfId="14928"/>
    <cellStyle name="20% - Accent5 3 3 2 20 2" xfId="37703"/>
    <cellStyle name="20% - Accent5 3 3 2 21" xfId="15584"/>
    <cellStyle name="20% - Accent5 3 3 2 21 2" xfId="38359"/>
    <cellStyle name="20% - Accent5 3 3 2 22" xfId="16240"/>
    <cellStyle name="20% - Accent5 3 3 2 22 2" xfId="39015"/>
    <cellStyle name="20% - Accent5 3 3 2 23" xfId="16896"/>
    <cellStyle name="20% - Accent5 3 3 2 23 2" xfId="39671"/>
    <cellStyle name="20% - Accent5 3 3 2 24" xfId="17552"/>
    <cellStyle name="20% - Accent5 3 3 2 24 2" xfId="40327"/>
    <cellStyle name="20% - Accent5 3 3 2 25" xfId="18208"/>
    <cellStyle name="20% - Accent5 3 3 2 25 2" xfId="40983"/>
    <cellStyle name="20% - Accent5 3 3 2 26" xfId="18864"/>
    <cellStyle name="20% - Accent5 3 3 2 26 2" xfId="41639"/>
    <cellStyle name="20% - Accent5 3 3 2 27" xfId="19520"/>
    <cellStyle name="20% - Accent5 3 3 2 27 2" xfId="42295"/>
    <cellStyle name="20% - Accent5 3 3 2 28" xfId="20176"/>
    <cellStyle name="20% - Accent5 3 3 2 28 2" xfId="42951"/>
    <cellStyle name="20% - Accent5 3 3 2 29" xfId="20832"/>
    <cellStyle name="20% - Accent5 3 3 2 29 2" xfId="43607"/>
    <cellStyle name="20% - Accent5 3 3 2 3" xfId="2136"/>
    <cellStyle name="20% - Accent5 3 3 2 3 2" xfId="4432"/>
    <cellStyle name="20% - Accent5 3 3 2 3 2 2" xfId="27207"/>
    <cellStyle name="20% - Accent5 3 3 2 3 3" xfId="24911"/>
    <cellStyle name="20% - Accent5 3 3 2 30" xfId="21488"/>
    <cellStyle name="20% - Accent5 3 3 2 30 2" xfId="44263"/>
    <cellStyle name="20% - Accent5 3 3 2 31" xfId="22144"/>
    <cellStyle name="20% - Accent5 3 3 2 31 2" xfId="44919"/>
    <cellStyle name="20% - Accent5 3 3 2 32" xfId="22800"/>
    <cellStyle name="20% - Accent5 3 3 2 32 2" xfId="45575"/>
    <cellStyle name="20% - Accent5 3 3 2 33" xfId="23599"/>
    <cellStyle name="20% - Accent5 3 3 2 4" xfId="5088"/>
    <cellStyle name="20% - Accent5 3 3 2 4 2" xfId="27863"/>
    <cellStyle name="20% - Accent5 3 3 2 5" xfId="5744"/>
    <cellStyle name="20% - Accent5 3 3 2 5 2" xfId="28519"/>
    <cellStyle name="20% - Accent5 3 3 2 6" xfId="6400"/>
    <cellStyle name="20% - Accent5 3 3 2 6 2" xfId="29175"/>
    <cellStyle name="20% - Accent5 3 3 2 7" xfId="3120"/>
    <cellStyle name="20% - Accent5 3 3 2 7 2" xfId="25895"/>
    <cellStyle name="20% - Accent5 3 3 2 8" xfId="7056"/>
    <cellStyle name="20% - Accent5 3 3 2 8 2" xfId="29831"/>
    <cellStyle name="20% - Accent5 3 3 2 9" xfId="7712"/>
    <cellStyle name="20% - Accent5 3 3 2 9 2" xfId="30487"/>
    <cellStyle name="20% - Accent5 3 3 20" xfId="13288"/>
    <cellStyle name="20% - Accent5 3 3 20 2" xfId="36063"/>
    <cellStyle name="20% - Accent5 3 3 21" xfId="13944"/>
    <cellStyle name="20% - Accent5 3 3 21 2" xfId="36719"/>
    <cellStyle name="20% - Accent5 3 3 22" xfId="14600"/>
    <cellStyle name="20% - Accent5 3 3 22 2" xfId="37375"/>
    <cellStyle name="20% - Accent5 3 3 23" xfId="15256"/>
    <cellStyle name="20% - Accent5 3 3 23 2" xfId="38031"/>
    <cellStyle name="20% - Accent5 3 3 24" xfId="15912"/>
    <cellStyle name="20% - Accent5 3 3 24 2" xfId="38687"/>
    <cellStyle name="20% - Accent5 3 3 25" xfId="16568"/>
    <cellStyle name="20% - Accent5 3 3 25 2" xfId="39343"/>
    <cellStyle name="20% - Accent5 3 3 26" xfId="17224"/>
    <cellStyle name="20% - Accent5 3 3 26 2" xfId="39999"/>
    <cellStyle name="20% - Accent5 3 3 27" xfId="17880"/>
    <cellStyle name="20% - Accent5 3 3 27 2" xfId="40655"/>
    <cellStyle name="20% - Accent5 3 3 28" xfId="18536"/>
    <cellStyle name="20% - Accent5 3 3 28 2" xfId="41311"/>
    <cellStyle name="20% - Accent5 3 3 29" xfId="19192"/>
    <cellStyle name="20% - Accent5 3 3 29 2" xfId="41967"/>
    <cellStyle name="20% - Accent5 3 3 3" xfId="1152"/>
    <cellStyle name="20% - Accent5 3 3 3 2" xfId="2792"/>
    <cellStyle name="20% - Accent5 3 3 3 2 2" xfId="25567"/>
    <cellStyle name="20% - Accent5 3 3 3 3" xfId="23927"/>
    <cellStyle name="20% - Accent5 3 3 30" xfId="19848"/>
    <cellStyle name="20% - Accent5 3 3 30 2" xfId="42623"/>
    <cellStyle name="20% - Accent5 3 3 31" xfId="20504"/>
    <cellStyle name="20% - Accent5 3 3 31 2" xfId="43279"/>
    <cellStyle name="20% - Accent5 3 3 32" xfId="21160"/>
    <cellStyle name="20% - Accent5 3 3 32 2" xfId="43935"/>
    <cellStyle name="20% - Accent5 3 3 33" xfId="21816"/>
    <cellStyle name="20% - Accent5 3 3 33 2" xfId="44591"/>
    <cellStyle name="20% - Accent5 3 3 34" xfId="22472"/>
    <cellStyle name="20% - Accent5 3 3 34 2" xfId="45247"/>
    <cellStyle name="20% - Accent5 3 3 35" xfId="23271"/>
    <cellStyle name="20% - Accent5 3 3 4" xfId="1808"/>
    <cellStyle name="20% - Accent5 3 3 4 2" xfId="3448"/>
    <cellStyle name="20% - Accent5 3 3 4 2 2" xfId="26223"/>
    <cellStyle name="20% - Accent5 3 3 4 3" xfId="24583"/>
    <cellStyle name="20% - Accent5 3 3 5" xfId="4104"/>
    <cellStyle name="20% - Accent5 3 3 5 2" xfId="26879"/>
    <cellStyle name="20% - Accent5 3 3 6" xfId="4760"/>
    <cellStyle name="20% - Accent5 3 3 6 2" xfId="27535"/>
    <cellStyle name="20% - Accent5 3 3 7" xfId="5416"/>
    <cellStyle name="20% - Accent5 3 3 7 2" xfId="28191"/>
    <cellStyle name="20% - Accent5 3 3 8" xfId="6072"/>
    <cellStyle name="20% - Accent5 3 3 8 2" xfId="28847"/>
    <cellStyle name="20% - Accent5 3 3 9" xfId="2464"/>
    <cellStyle name="20% - Accent5 3 3 9 2" xfId="25239"/>
    <cellStyle name="20% - Accent5 3 30" xfId="18351"/>
    <cellStyle name="20% - Accent5 3 30 2" xfId="41126"/>
    <cellStyle name="20% - Accent5 3 31" xfId="19007"/>
    <cellStyle name="20% - Accent5 3 31 2" xfId="41782"/>
    <cellStyle name="20% - Accent5 3 32" xfId="19663"/>
    <cellStyle name="20% - Accent5 3 32 2" xfId="42438"/>
    <cellStyle name="20% - Accent5 3 33" xfId="20319"/>
    <cellStyle name="20% - Accent5 3 33 2" xfId="43094"/>
    <cellStyle name="20% - Accent5 3 34" xfId="20975"/>
    <cellStyle name="20% - Accent5 3 34 2" xfId="43750"/>
    <cellStyle name="20% - Accent5 3 35" xfId="21631"/>
    <cellStyle name="20% - Accent5 3 35 2" xfId="44406"/>
    <cellStyle name="20% - Accent5 3 36" xfId="22287"/>
    <cellStyle name="20% - Accent5 3 36 2" xfId="45062"/>
    <cellStyle name="20% - Accent5 3 37" xfId="226"/>
    <cellStyle name="20% - Accent5 3 38" xfId="22943"/>
    <cellStyle name="20% - Accent5 3 4" xfId="639"/>
    <cellStyle name="20% - Accent5 3 4 10" xfId="8183"/>
    <cellStyle name="20% - Accent5 3 4 10 2" xfId="30958"/>
    <cellStyle name="20% - Accent5 3 4 11" xfId="8839"/>
    <cellStyle name="20% - Accent5 3 4 11 2" xfId="31614"/>
    <cellStyle name="20% - Accent5 3 4 12" xfId="9495"/>
    <cellStyle name="20% - Accent5 3 4 12 2" xfId="32270"/>
    <cellStyle name="20% - Accent5 3 4 13" xfId="10151"/>
    <cellStyle name="20% - Accent5 3 4 13 2" xfId="32926"/>
    <cellStyle name="20% - Accent5 3 4 14" xfId="10807"/>
    <cellStyle name="20% - Accent5 3 4 14 2" xfId="33582"/>
    <cellStyle name="20% - Accent5 3 4 15" xfId="11463"/>
    <cellStyle name="20% - Accent5 3 4 15 2" xfId="34238"/>
    <cellStyle name="20% - Accent5 3 4 16" xfId="12119"/>
    <cellStyle name="20% - Accent5 3 4 16 2" xfId="34894"/>
    <cellStyle name="20% - Accent5 3 4 17" xfId="12775"/>
    <cellStyle name="20% - Accent5 3 4 17 2" xfId="35550"/>
    <cellStyle name="20% - Accent5 3 4 18" xfId="13431"/>
    <cellStyle name="20% - Accent5 3 4 18 2" xfId="36206"/>
    <cellStyle name="20% - Accent5 3 4 19" xfId="14087"/>
    <cellStyle name="20% - Accent5 3 4 19 2" xfId="36862"/>
    <cellStyle name="20% - Accent5 3 4 2" xfId="1295"/>
    <cellStyle name="20% - Accent5 3 4 2 2" xfId="3591"/>
    <cellStyle name="20% - Accent5 3 4 2 2 2" xfId="26366"/>
    <cellStyle name="20% - Accent5 3 4 2 3" xfId="24070"/>
    <cellStyle name="20% - Accent5 3 4 20" xfId="14743"/>
    <cellStyle name="20% - Accent5 3 4 20 2" xfId="37518"/>
    <cellStyle name="20% - Accent5 3 4 21" xfId="15399"/>
    <cellStyle name="20% - Accent5 3 4 21 2" xfId="38174"/>
    <cellStyle name="20% - Accent5 3 4 22" xfId="16055"/>
    <cellStyle name="20% - Accent5 3 4 22 2" xfId="38830"/>
    <cellStyle name="20% - Accent5 3 4 23" xfId="16711"/>
    <cellStyle name="20% - Accent5 3 4 23 2" xfId="39486"/>
    <cellStyle name="20% - Accent5 3 4 24" xfId="17367"/>
    <cellStyle name="20% - Accent5 3 4 24 2" xfId="40142"/>
    <cellStyle name="20% - Accent5 3 4 25" xfId="18023"/>
    <cellStyle name="20% - Accent5 3 4 25 2" xfId="40798"/>
    <cellStyle name="20% - Accent5 3 4 26" xfId="18679"/>
    <cellStyle name="20% - Accent5 3 4 26 2" xfId="41454"/>
    <cellStyle name="20% - Accent5 3 4 27" xfId="19335"/>
    <cellStyle name="20% - Accent5 3 4 27 2" xfId="42110"/>
    <cellStyle name="20% - Accent5 3 4 28" xfId="19991"/>
    <cellStyle name="20% - Accent5 3 4 28 2" xfId="42766"/>
    <cellStyle name="20% - Accent5 3 4 29" xfId="20647"/>
    <cellStyle name="20% - Accent5 3 4 29 2" xfId="43422"/>
    <cellStyle name="20% - Accent5 3 4 3" xfId="1951"/>
    <cellStyle name="20% - Accent5 3 4 3 2" xfId="4247"/>
    <cellStyle name="20% - Accent5 3 4 3 2 2" xfId="27022"/>
    <cellStyle name="20% - Accent5 3 4 3 3" xfId="24726"/>
    <cellStyle name="20% - Accent5 3 4 30" xfId="21303"/>
    <cellStyle name="20% - Accent5 3 4 30 2" xfId="44078"/>
    <cellStyle name="20% - Accent5 3 4 31" xfId="21959"/>
    <cellStyle name="20% - Accent5 3 4 31 2" xfId="44734"/>
    <cellStyle name="20% - Accent5 3 4 32" xfId="22615"/>
    <cellStyle name="20% - Accent5 3 4 32 2" xfId="45390"/>
    <cellStyle name="20% - Accent5 3 4 33" xfId="23414"/>
    <cellStyle name="20% - Accent5 3 4 4" xfId="4903"/>
    <cellStyle name="20% - Accent5 3 4 4 2" xfId="27678"/>
    <cellStyle name="20% - Accent5 3 4 5" xfId="5559"/>
    <cellStyle name="20% - Accent5 3 4 5 2" xfId="28334"/>
    <cellStyle name="20% - Accent5 3 4 6" xfId="6215"/>
    <cellStyle name="20% - Accent5 3 4 6 2" xfId="28990"/>
    <cellStyle name="20% - Accent5 3 4 7" xfId="2935"/>
    <cellStyle name="20% - Accent5 3 4 7 2" xfId="25710"/>
    <cellStyle name="20% - Accent5 3 4 8" xfId="6871"/>
    <cellStyle name="20% - Accent5 3 4 8 2" xfId="29646"/>
    <cellStyle name="20% - Accent5 3 4 9" xfId="7527"/>
    <cellStyle name="20% - Accent5 3 4 9 2" xfId="30302"/>
    <cellStyle name="20% - Accent5 3 5" xfId="312"/>
    <cellStyle name="20% - Accent5 3 5 2" xfId="2607"/>
    <cellStyle name="20% - Accent5 3 5 2 2" xfId="25382"/>
    <cellStyle name="20% - Accent5 3 5 3" xfId="23086"/>
    <cellStyle name="20% - Accent5 3 6" xfId="967"/>
    <cellStyle name="20% - Accent5 3 6 2" xfId="3263"/>
    <cellStyle name="20% - Accent5 3 6 2 2" xfId="26038"/>
    <cellStyle name="20% - Accent5 3 6 3" xfId="23742"/>
    <cellStyle name="20% - Accent5 3 7" xfId="1623"/>
    <cellStyle name="20% - Accent5 3 7 2" xfId="3919"/>
    <cellStyle name="20% - Accent5 3 7 2 2" xfId="26694"/>
    <cellStyle name="20% - Accent5 3 7 3" xfId="24398"/>
    <cellStyle name="20% - Accent5 3 8" xfId="4575"/>
    <cellStyle name="20% - Accent5 3 8 2" xfId="27350"/>
    <cellStyle name="20% - Accent5 3 9" xfId="5231"/>
    <cellStyle name="20% - Accent5 3 9 2" xfId="28006"/>
    <cellStyle name="20% - Accent5 30" xfId="13728"/>
    <cellStyle name="20% - Accent5 30 2" xfId="36503"/>
    <cellStyle name="20% - Accent5 31" xfId="14384"/>
    <cellStyle name="20% - Accent5 31 2" xfId="37159"/>
    <cellStyle name="20% - Accent5 32" xfId="15040"/>
    <cellStyle name="20% - Accent5 32 2" xfId="37815"/>
    <cellStyle name="20% - Accent5 33" xfId="15696"/>
    <cellStyle name="20% - Accent5 33 2" xfId="38471"/>
    <cellStyle name="20% - Accent5 34" xfId="16352"/>
    <cellStyle name="20% - Accent5 34 2" xfId="39127"/>
    <cellStyle name="20% - Accent5 35" xfId="17008"/>
    <cellStyle name="20% - Accent5 35 2" xfId="39783"/>
    <cellStyle name="20% - Accent5 36" xfId="17664"/>
    <cellStyle name="20% - Accent5 36 2" xfId="40439"/>
    <cellStyle name="20% - Accent5 37" xfId="18320"/>
    <cellStyle name="20% - Accent5 37 2" xfId="41095"/>
    <cellStyle name="20% - Accent5 38" xfId="18976"/>
    <cellStyle name="20% - Accent5 38 2" xfId="41751"/>
    <cellStyle name="20% - Accent5 39" xfId="19632"/>
    <cellStyle name="20% - Accent5 39 2" xfId="42407"/>
    <cellStyle name="20% - Accent5 4" xfId="95"/>
    <cellStyle name="20% - Accent5 4 10" xfId="5901"/>
    <cellStyle name="20% - Accent5 4 10 2" xfId="28676"/>
    <cellStyle name="20% - Accent5 4 11" xfId="2293"/>
    <cellStyle name="20% - Accent5 4 11 2" xfId="25068"/>
    <cellStyle name="20% - Accent5 4 12" xfId="6557"/>
    <cellStyle name="20% - Accent5 4 12 2" xfId="29332"/>
    <cellStyle name="20% - Accent5 4 13" xfId="7213"/>
    <cellStyle name="20% - Accent5 4 13 2" xfId="29988"/>
    <cellStyle name="20% - Accent5 4 14" xfId="7869"/>
    <cellStyle name="20% - Accent5 4 14 2" xfId="30644"/>
    <cellStyle name="20% - Accent5 4 15" xfId="8525"/>
    <cellStyle name="20% - Accent5 4 15 2" xfId="31300"/>
    <cellStyle name="20% - Accent5 4 16" xfId="9181"/>
    <cellStyle name="20% - Accent5 4 16 2" xfId="31956"/>
    <cellStyle name="20% - Accent5 4 17" xfId="9837"/>
    <cellStyle name="20% - Accent5 4 17 2" xfId="32612"/>
    <cellStyle name="20% - Accent5 4 18" xfId="10493"/>
    <cellStyle name="20% - Accent5 4 18 2" xfId="33268"/>
    <cellStyle name="20% - Accent5 4 19" xfId="11149"/>
    <cellStyle name="20% - Accent5 4 19 2" xfId="33924"/>
    <cellStyle name="20% - Accent5 4 2" xfId="166"/>
    <cellStyle name="20% - Accent5 4 2 10" xfId="2364"/>
    <cellStyle name="20% - Accent5 4 2 10 2" xfId="25139"/>
    <cellStyle name="20% - Accent5 4 2 11" xfId="6628"/>
    <cellStyle name="20% - Accent5 4 2 11 2" xfId="29403"/>
    <cellStyle name="20% - Accent5 4 2 12" xfId="7284"/>
    <cellStyle name="20% - Accent5 4 2 12 2" xfId="30059"/>
    <cellStyle name="20% - Accent5 4 2 13" xfId="7940"/>
    <cellStyle name="20% - Accent5 4 2 13 2" xfId="30715"/>
    <cellStyle name="20% - Accent5 4 2 14" xfId="8596"/>
    <cellStyle name="20% - Accent5 4 2 14 2" xfId="31371"/>
    <cellStyle name="20% - Accent5 4 2 15" xfId="9252"/>
    <cellStyle name="20% - Accent5 4 2 15 2" xfId="32027"/>
    <cellStyle name="20% - Accent5 4 2 16" xfId="9908"/>
    <cellStyle name="20% - Accent5 4 2 16 2" xfId="32683"/>
    <cellStyle name="20% - Accent5 4 2 17" xfId="10564"/>
    <cellStyle name="20% - Accent5 4 2 17 2" xfId="33339"/>
    <cellStyle name="20% - Accent5 4 2 18" xfId="11220"/>
    <cellStyle name="20% - Accent5 4 2 18 2" xfId="33995"/>
    <cellStyle name="20% - Accent5 4 2 19" xfId="11876"/>
    <cellStyle name="20% - Accent5 4 2 19 2" xfId="34651"/>
    <cellStyle name="20% - Accent5 4 2 2" xfId="580"/>
    <cellStyle name="20% - Accent5 4 2 2 10" xfId="6813"/>
    <cellStyle name="20% - Accent5 4 2 2 10 2" xfId="29588"/>
    <cellStyle name="20% - Accent5 4 2 2 11" xfId="7469"/>
    <cellStyle name="20% - Accent5 4 2 2 11 2" xfId="30244"/>
    <cellStyle name="20% - Accent5 4 2 2 12" xfId="8125"/>
    <cellStyle name="20% - Accent5 4 2 2 12 2" xfId="30900"/>
    <cellStyle name="20% - Accent5 4 2 2 13" xfId="8781"/>
    <cellStyle name="20% - Accent5 4 2 2 13 2" xfId="31556"/>
    <cellStyle name="20% - Accent5 4 2 2 14" xfId="9437"/>
    <cellStyle name="20% - Accent5 4 2 2 14 2" xfId="32212"/>
    <cellStyle name="20% - Accent5 4 2 2 15" xfId="10093"/>
    <cellStyle name="20% - Accent5 4 2 2 15 2" xfId="32868"/>
    <cellStyle name="20% - Accent5 4 2 2 16" xfId="10749"/>
    <cellStyle name="20% - Accent5 4 2 2 16 2" xfId="33524"/>
    <cellStyle name="20% - Accent5 4 2 2 17" xfId="11405"/>
    <cellStyle name="20% - Accent5 4 2 2 17 2" xfId="34180"/>
    <cellStyle name="20% - Accent5 4 2 2 18" xfId="12061"/>
    <cellStyle name="20% - Accent5 4 2 2 18 2" xfId="34836"/>
    <cellStyle name="20% - Accent5 4 2 2 19" xfId="12717"/>
    <cellStyle name="20% - Accent5 4 2 2 19 2" xfId="35492"/>
    <cellStyle name="20% - Accent5 4 2 2 2" xfId="909"/>
    <cellStyle name="20% - Accent5 4 2 2 2 10" xfId="8453"/>
    <cellStyle name="20% - Accent5 4 2 2 2 10 2" xfId="31228"/>
    <cellStyle name="20% - Accent5 4 2 2 2 11" xfId="9109"/>
    <cellStyle name="20% - Accent5 4 2 2 2 11 2" xfId="31884"/>
    <cellStyle name="20% - Accent5 4 2 2 2 12" xfId="9765"/>
    <cellStyle name="20% - Accent5 4 2 2 2 12 2" xfId="32540"/>
    <cellStyle name="20% - Accent5 4 2 2 2 13" xfId="10421"/>
    <cellStyle name="20% - Accent5 4 2 2 2 13 2" xfId="33196"/>
    <cellStyle name="20% - Accent5 4 2 2 2 14" xfId="11077"/>
    <cellStyle name="20% - Accent5 4 2 2 2 14 2" xfId="33852"/>
    <cellStyle name="20% - Accent5 4 2 2 2 15" xfId="11733"/>
    <cellStyle name="20% - Accent5 4 2 2 2 15 2" xfId="34508"/>
    <cellStyle name="20% - Accent5 4 2 2 2 16" xfId="12389"/>
    <cellStyle name="20% - Accent5 4 2 2 2 16 2" xfId="35164"/>
    <cellStyle name="20% - Accent5 4 2 2 2 17" xfId="13045"/>
    <cellStyle name="20% - Accent5 4 2 2 2 17 2" xfId="35820"/>
    <cellStyle name="20% - Accent5 4 2 2 2 18" xfId="13701"/>
    <cellStyle name="20% - Accent5 4 2 2 2 18 2" xfId="36476"/>
    <cellStyle name="20% - Accent5 4 2 2 2 19" xfId="14357"/>
    <cellStyle name="20% - Accent5 4 2 2 2 19 2" xfId="37132"/>
    <cellStyle name="20% - Accent5 4 2 2 2 2" xfId="1565"/>
    <cellStyle name="20% - Accent5 4 2 2 2 2 2" xfId="3861"/>
    <cellStyle name="20% - Accent5 4 2 2 2 2 2 2" xfId="26636"/>
    <cellStyle name="20% - Accent5 4 2 2 2 2 3" xfId="24340"/>
    <cellStyle name="20% - Accent5 4 2 2 2 20" xfId="15013"/>
    <cellStyle name="20% - Accent5 4 2 2 2 20 2" xfId="37788"/>
    <cellStyle name="20% - Accent5 4 2 2 2 21" xfId="15669"/>
    <cellStyle name="20% - Accent5 4 2 2 2 21 2" xfId="38444"/>
    <cellStyle name="20% - Accent5 4 2 2 2 22" xfId="16325"/>
    <cellStyle name="20% - Accent5 4 2 2 2 22 2" xfId="39100"/>
    <cellStyle name="20% - Accent5 4 2 2 2 23" xfId="16981"/>
    <cellStyle name="20% - Accent5 4 2 2 2 23 2" xfId="39756"/>
    <cellStyle name="20% - Accent5 4 2 2 2 24" xfId="17637"/>
    <cellStyle name="20% - Accent5 4 2 2 2 24 2" xfId="40412"/>
    <cellStyle name="20% - Accent5 4 2 2 2 25" xfId="18293"/>
    <cellStyle name="20% - Accent5 4 2 2 2 25 2" xfId="41068"/>
    <cellStyle name="20% - Accent5 4 2 2 2 26" xfId="18949"/>
    <cellStyle name="20% - Accent5 4 2 2 2 26 2" xfId="41724"/>
    <cellStyle name="20% - Accent5 4 2 2 2 27" xfId="19605"/>
    <cellStyle name="20% - Accent5 4 2 2 2 27 2" xfId="42380"/>
    <cellStyle name="20% - Accent5 4 2 2 2 28" xfId="20261"/>
    <cellStyle name="20% - Accent5 4 2 2 2 28 2" xfId="43036"/>
    <cellStyle name="20% - Accent5 4 2 2 2 29" xfId="20917"/>
    <cellStyle name="20% - Accent5 4 2 2 2 29 2" xfId="43692"/>
    <cellStyle name="20% - Accent5 4 2 2 2 3" xfId="2221"/>
    <cellStyle name="20% - Accent5 4 2 2 2 3 2" xfId="4517"/>
    <cellStyle name="20% - Accent5 4 2 2 2 3 2 2" xfId="27292"/>
    <cellStyle name="20% - Accent5 4 2 2 2 3 3" xfId="24996"/>
    <cellStyle name="20% - Accent5 4 2 2 2 30" xfId="21573"/>
    <cellStyle name="20% - Accent5 4 2 2 2 30 2" xfId="44348"/>
    <cellStyle name="20% - Accent5 4 2 2 2 31" xfId="22229"/>
    <cellStyle name="20% - Accent5 4 2 2 2 31 2" xfId="45004"/>
    <cellStyle name="20% - Accent5 4 2 2 2 32" xfId="22885"/>
    <cellStyle name="20% - Accent5 4 2 2 2 32 2" xfId="45660"/>
    <cellStyle name="20% - Accent5 4 2 2 2 33" xfId="23684"/>
    <cellStyle name="20% - Accent5 4 2 2 2 4" xfId="5173"/>
    <cellStyle name="20% - Accent5 4 2 2 2 4 2" xfId="27948"/>
    <cellStyle name="20% - Accent5 4 2 2 2 5" xfId="5829"/>
    <cellStyle name="20% - Accent5 4 2 2 2 5 2" xfId="28604"/>
    <cellStyle name="20% - Accent5 4 2 2 2 6" xfId="6485"/>
    <cellStyle name="20% - Accent5 4 2 2 2 6 2" xfId="29260"/>
    <cellStyle name="20% - Accent5 4 2 2 2 7" xfId="3205"/>
    <cellStyle name="20% - Accent5 4 2 2 2 7 2" xfId="25980"/>
    <cellStyle name="20% - Accent5 4 2 2 2 8" xfId="7141"/>
    <cellStyle name="20% - Accent5 4 2 2 2 8 2" xfId="29916"/>
    <cellStyle name="20% - Accent5 4 2 2 2 9" xfId="7797"/>
    <cellStyle name="20% - Accent5 4 2 2 2 9 2" xfId="30572"/>
    <cellStyle name="20% - Accent5 4 2 2 20" xfId="13373"/>
    <cellStyle name="20% - Accent5 4 2 2 20 2" xfId="36148"/>
    <cellStyle name="20% - Accent5 4 2 2 21" xfId="14029"/>
    <cellStyle name="20% - Accent5 4 2 2 21 2" xfId="36804"/>
    <cellStyle name="20% - Accent5 4 2 2 22" xfId="14685"/>
    <cellStyle name="20% - Accent5 4 2 2 22 2" xfId="37460"/>
    <cellStyle name="20% - Accent5 4 2 2 23" xfId="15341"/>
    <cellStyle name="20% - Accent5 4 2 2 23 2" xfId="38116"/>
    <cellStyle name="20% - Accent5 4 2 2 24" xfId="15997"/>
    <cellStyle name="20% - Accent5 4 2 2 24 2" xfId="38772"/>
    <cellStyle name="20% - Accent5 4 2 2 25" xfId="16653"/>
    <cellStyle name="20% - Accent5 4 2 2 25 2" xfId="39428"/>
    <cellStyle name="20% - Accent5 4 2 2 26" xfId="17309"/>
    <cellStyle name="20% - Accent5 4 2 2 26 2" xfId="40084"/>
    <cellStyle name="20% - Accent5 4 2 2 27" xfId="17965"/>
    <cellStyle name="20% - Accent5 4 2 2 27 2" xfId="40740"/>
    <cellStyle name="20% - Accent5 4 2 2 28" xfId="18621"/>
    <cellStyle name="20% - Accent5 4 2 2 28 2" xfId="41396"/>
    <cellStyle name="20% - Accent5 4 2 2 29" xfId="19277"/>
    <cellStyle name="20% - Accent5 4 2 2 29 2" xfId="42052"/>
    <cellStyle name="20% - Accent5 4 2 2 3" xfId="1237"/>
    <cellStyle name="20% - Accent5 4 2 2 3 2" xfId="2877"/>
    <cellStyle name="20% - Accent5 4 2 2 3 2 2" xfId="25652"/>
    <cellStyle name="20% - Accent5 4 2 2 3 3" xfId="24012"/>
    <cellStyle name="20% - Accent5 4 2 2 30" xfId="19933"/>
    <cellStyle name="20% - Accent5 4 2 2 30 2" xfId="42708"/>
    <cellStyle name="20% - Accent5 4 2 2 31" xfId="20589"/>
    <cellStyle name="20% - Accent5 4 2 2 31 2" xfId="43364"/>
    <cellStyle name="20% - Accent5 4 2 2 32" xfId="21245"/>
    <cellStyle name="20% - Accent5 4 2 2 32 2" xfId="44020"/>
    <cellStyle name="20% - Accent5 4 2 2 33" xfId="21901"/>
    <cellStyle name="20% - Accent5 4 2 2 33 2" xfId="44676"/>
    <cellStyle name="20% - Accent5 4 2 2 34" xfId="22557"/>
    <cellStyle name="20% - Accent5 4 2 2 34 2" xfId="45332"/>
    <cellStyle name="20% - Accent5 4 2 2 35" xfId="23356"/>
    <cellStyle name="20% - Accent5 4 2 2 4" xfId="1893"/>
    <cellStyle name="20% - Accent5 4 2 2 4 2" xfId="3533"/>
    <cellStyle name="20% - Accent5 4 2 2 4 2 2" xfId="26308"/>
    <cellStyle name="20% - Accent5 4 2 2 4 3" xfId="24668"/>
    <cellStyle name="20% - Accent5 4 2 2 5" xfId="4189"/>
    <cellStyle name="20% - Accent5 4 2 2 5 2" xfId="26964"/>
    <cellStyle name="20% - Accent5 4 2 2 6" xfId="4845"/>
    <cellStyle name="20% - Accent5 4 2 2 6 2" xfId="27620"/>
    <cellStyle name="20% - Accent5 4 2 2 7" xfId="5501"/>
    <cellStyle name="20% - Accent5 4 2 2 7 2" xfId="28276"/>
    <cellStyle name="20% - Accent5 4 2 2 8" xfId="6157"/>
    <cellStyle name="20% - Accent5 4 2 2 8 2" xfId="28932"/>
    <cellStyle name="20% - Accent5 4 2 2 9" xfId="2549"/>
    <cellStyle name="20% - Accent5 4 2 2 9 2" xfId="25324"/>
    <cellStyle name="20% - Accent5 4 2 20" xfId="12532"/>
    <cellStyle name="20% - Accent5 4 2 20 2" xfId="35307"/>
    <cellStyle name="20% - Accent5 4 2 21" xfId="13188"/>
    <cellStyle name="20% - Accent5 4 2 21 2" xfId="35963"/>
    <cellStyle name="20% - Accent5 4 2 22" xfId="13844"/>
    <cellStyle name="20% - Accent5 4 2 22 2" xfId="36619"/>
    <cellStyle name="20% - Accent5 4 2 23" xfId="14500"/>
    <cellStyle name="20% - Accent5 4 2 23 2" xfId="37275"/>
    <cellStyle name="20% - Accent5 4 2 24" xfId="15156"/>
    <cellStyle name="20% - Accent5 4 2 24 2" xfId="37931"/>
    <cellStyle name="20% - Accent5 4 2 25" xfId="15812"/>
    <cellStyle name="20% - Accent5 4 2 25 2" xfId="38587"/>
    <cellStyle name="20% - Accent5 4 2 26" xfId="16468"/>
    <cellStyle name="20% - Accent5 4 2 26 2" xfId="39243"/>
    <cellStyle name="20% - Accent5 4 2 27" xfId="17124"/>
    <cellStyle name="20% - Accent5 4 2 27 2" xfId="39899"/>
    <cellStyle name="20% - Accent5 4 2 28" xfId="17780"/>
    <cellStyle name="20% - Accent5 4 2 28 2" xfId="40555"/>
    <cellStyle name="20% - Accent5 4 2 29" xfId="18436"/>
    <cellStyle name="20% - Accent5 4 2 29 2" xfId="41211"/>
    <cellStyle name="20% - Accent5 4 2 3" xfId="724"/>
    <cellStyle name="20% - Accent5 4 2 3 10" xfId="8268"/>
    <cellStyle name="20% - Accent5 4 2 3 10 2" xfId="31043"/>
    <cellStyle name="20% - Accent5 4 2 3 11" xfId="8924"/>
    <cellStyle name="20% - Accent5 4 2 3 11 2" xfId="31699"/>
    <cellStyle name="20% - Accent5 4 2 3 12" xfId="9580"/>
    <cellStyle name="20% - Accent5 4 2 3 12 2" xfId="32355"/>
    <cellStyle name="20% - Accent5 4 2 3 13" xfId="10236"/>
    <cellStyle name="20% - Accent5 4 2 3 13 2" xfId="33011"/>
    <cellStyle name="20% - Accent5 4 2 3 14" xfId="10892"/>
    <cellStyle name="20% - Accent5 4 2 3 14 2" xfId="33667"/>
    <cellStyle name="20% - Accent5 4 2 3 15" xfId="11548"/>
    <cellStyle name="20% - Accent5 4 2 3 15 2" xfId="34323"/>
    <cellStyle name="20% - Accent5 4 2 3 16" xfId="12204"/>
    <cellStyle name="20% - Accent5 4 2 3 16 2" xfId="34979"/>
    <cellStyle name="20% - Accent5 4 2 3 17" xfId="12860"/>
    <cellStyle name="20% - Accent5 4 2 3 17 2" xfId="35635"/>
    <cellStyle name="20% - Accent5 4 2 3 18" xfId="13516"/>
    <cellStyle name="20% - Accent5 4 2 3 18 2" xfId="36291"/>
    <cellStyle name="20% - Accent5 4 2 3 19" xfId="14172"/>
    <cellStyle name="20% - Accent5 4 2 3 19 2" xfId="36947"/>
    <cellStyle name="20% - Accent5 4 2 3 2" xfId="1380"/>
    <cellStyle name="20% - Accent5 4 2 3 2 2" xfId="3676"/>
    <cellStyle name="20% - Accent5 4 2 3 2 2 2" xfId="26451"/>
    <cellStyle name="20% - Accent5 4 2 3 2 3" xfId="24155"/>
    <cellStyle name="20% - Accent5 4 2 3 20" xfId="14828"/>
    <cellStyle name="20% - Accent5 4 2 3 20 2" xfId="37603"/>
    <cellStyle name="20% - Accent5 4 2 3 21" xfId="15484"/>
    <cellStyle name="20% - Accent5 4 2 3 21 2" xfId="38259"/>
    <cellStyle name="20% - Accent5 4 2 3 22" xfId="16140"/>
    <cellStyle name="20% - Accent5 4 2 3 22 2" xfId="38915"/>
    <cellStyle name="20% - Accent5 4 2 3 23" xfId="16796"/>
    <cellStyle name="20% - Accent5 4 2 3 23 2" xfId="39571"/>
    <cellStyle name="20% - Accent5 4 2 3 24" xfId="17452"/>
    <cellStyle name="20% - Accent5 4 2 3 24 2" xfId="40227"/>
    <cellStyle name="20% - Accent5 4 2 3 25" xfId="18108"/>
    <cellStyle name="20% - Accent5 4 2 3 25 2" xfId="40883"/>
    <cellStyle name="20% - Accent5 4 2 3 26" xfId="18764"/>
    <cellStyle name="20% - Accent5 4 2 3 26 2" xfId="41539"/>
    <cellStyle name="20% - Accent5 4 2 3 27" xfId="19420"/>
    <cellStyle name="20% - Accent5 4 2 3 27 2" xfId="42195"/>
    <cellStyle name="20% - Accent5 4 2 3 28" xfId="20076"/>
    <cellStyle name="20% - Accent5 4 2 3 28 2" xfId="42851"/>
    <cellStyle name="20% - Accent5 4 2 3 29" xfId="20732"/>
    <cellStyle name="20% - Accent5 4 2 3 29 2" xfId="43507"/>
    <cellStyle name="20% - Accent5 4 2 3 3" xfId="2036"/>
    <cellStyle name="20% - Accent5 4 2 3 3 2" xfId="4332"/>
    <cellStyle name="20% - Accent5 4 2 3 3 2 2" xfId="27107"/>
    <cellStyle name="20% - Accent5 4 2 3 3 3" xfId="24811"/>
    <cellStyle name="20% - Accent5 4 2 3 30" xfId="21388"/>
    <cellStyle name="20% - Accent5 4 2 3 30 2" xfId="44163"/>
    <cellStyle name="20% - Accent5 4 2 3 31" xfId="22044"/>
    <cellStyle name="20% - Accent5 4 2 3 31 2" xfId="44819"/>
    <cellStyle name="20% - Accent5 4 2 3 32" xfId="22700"/>
    <cellStyle name="20% - Accent5 4 2 3 32 2" xfId="45475"/>
    <cellStyle name="20% - Accent5 4 2 3 33" xfId="23499"/>
    <cellStyle name="20% - Accent5 4 2 3 4" xfId="4988"/>
    <cellStyle name="20% - Accent5 4 2 3 4 2" xfId="27763"/>
    <cellStyle name="20% - Accent5 4 2 3 5" xfId="5644"/>
    <cellStyle name="20% - Accent5 4 2 3 5 2" xfId="28419"/>
    <cellStyle name="20% - Accent5 4 2 3 6" xfId="6300"/>
    <cellStyle name="20% - Accent5 4 2 3 6 2" xfId="29075"/>
    <cellStyle name="20% - Accent5 4 2 3 7" xfId="3020"/>
    <cellStyle name="20% - Accent5 4 2 3 7 2" xfId="25795"/>
    <cellStyle name="20% - Accent5 4 2 3 8" xfId="6956"/>
    <cellStyle name="20% - Accent5 4 2 3 8 2" xfId="29731"/>
    <cellStyle name="20% - Accent5 4 2 3 9" xfId="7612"/>
    <cellStyle name="20% - Accent5 4 2 3 9 2" xfId="30387"/>
    <cellStyle name="20% - Accent5 4 2 30" xfId="19092"/>
    <cellStyle name="20% - Accent5 4 2 30 2" xfId="41867"/>
    <cellStyle name="20% - Accent5 4 2 31" xfId="19748"/>
    <cellStyle name="20% - Accent5 4 2 31 2" xfId="42523"/>
    <cellStyle name="20% - Accent5 4 2 32" xfId="20404"/>
    <cellStyle name="20% - Accent5 4 2 32 2" xfId="43179"/>
    <cellStyle name="20% - Accent5 4 2 33" xfId="21060"/>
    <cellStyle name="20% - Accent5 4 2 33 2" xfId="43835"/>
    <cellStyle name="20% - Accent5 4 2 34" xfId="21716"/>
    <cellStyle name="20% - Accent5 4 2 34 2" xfId="44491"/>
    <cellStyle name="20% - Accent5 4 2 35" xfId="22372"/>
    <cellStyle name="20% - Accent5 4 2 35 2" xfId="45147"/>
    <cellStyle name="20% - Accent5 4 2 36" xfId="23028"/>
    <cellStyle name="20% - Accent5 4 2 4" xfId="397"/>
    <cellStyle name="20% - Accent5 4 2 4 2" xfId="2692"/>
    <cellStyle name="20% - Accent5 4 2 4 2 2" xfId="25467"/>
    <cellStyle name="20% - Accent5 4 2 4 3" xfId="23171"/>
    <cellStyle name="20% - Accent5 4 2 5" xfId="1052"/>
    <cellStyle name="20% - Accent5 4 2 5 2" xfId="3348"/>
    <cellStyle name="20% - Accent5 4 2 5 2 2" xfId="26123"/>
    <cellStyle name="20% - Accent5 4 2 5 3" xfId="23827"/>
    <cellStyle name="20% - Accent5 4 2 6" xfId="1708"/>
    <cellStyle name="20% - Accent5 4 2 6 2" xfId="4004"/>
    <cellStyle name="20% - Accent5 4 2 6 2 2" xfId="26779"/>
    <cellStyle name="20% - Accent5 4 2 6 3" xfId="24483"/>
    <cellStyle name="20% - Accent5 4 2 7" xfId="4660"/>
    <cellStyle name="20% - Accent5 4 2 7 2" xfId="27435"/>
    <cellStyle name="20% - Accent5 4 2 8" xfId="5316"/>
    <cellStyle name="20% - Accent5 4 2 8 2" xfId="28091"/>
    <cellStyle name="20% - Accent5 4 2 9" xfId="5972"/>
    <cellStyle name="20% - Accent5 4 2 9 2" xfId="28747"/>
    <cellStyle name="20% - Accent5 4 20" xfId="11805"/>
    <cellStyle name="20% - Accent5 4 20 2" xfId="34580"/>
    <cellStyle name="20% - Accent5 4 21" xfId="12461"/>
    <cellStyle name="20% - Accent5 4 21 2" xfId="35236"/>
    <cellStyle name="20% - Accent5 4 22" xfId="13117"/>
    <cellStyle name="20% - Accent5 4 22 2" xfId="35892"/>
    <cellStyle name="20% - Accent5 4 23" xfId="13773"/>
    <cellStyle name="20% - Accent5 4 23 2" xfId="36548"/>
    <cellStyle name="20% - Accent5 4 24" xfId="14429"/>
    <cellStyle name="20% - Accent5 4 24 2" xfId="37204"/>
    <cellStyle name="20% - Accent5 4 25" xfId="15085"/>
    <cellStyle name="20% - Accent5 4 25 2" xfId="37860"/>
    <cellStyle name="20% - Accent5 4 26" xfId="15741"/>
    <cellStyle name="20% - Accent5 4 26 2" xfId="38516"/>
    <cellStyle name="20% - Accent5 4 27" xfId="16397"/>
    <cellStyle name="20% - Accent5 4 27 2" xfId="39172"/>
    <cellStyle name="20% - Accent5 4 28" xfId="17053"/>
    <cellStyle name="20% - Accent5 4 28 2" xfId="39828"/>
    <cellStyle name="20% - Accent5 4 29" xfId="17709"/>
    <cellStyle name="20% - Accent5 4 29 2" xfId="40484"/>
    <cellStyle name="20% - Accent5 4 3" xfId="510"/>
    <cellStyle name="20% - Accent5 4 3 10" xfId="6742"/>
    <cellStyle name="20% - Accent5 4 3 10 2" xfId="29517"/>
    <cellStyle name="20% - Accent5 4 3 11" xfId="7398"/>
    <cellStyle name="20% - Accent5 4 3 11 2" xfId="30173"/>
    <cellStyle name="20% - Accent5 4 3 12" xfId="8054"/>
    <cellStyle name="20% - Accent5 4 3 12 2" xfId="30829"/>
    <cellStyle name="20% - Accent5 4 3 13" xfId="8710"/>
    <cellStyle name="20% - Accent5 4 3 13 2" xfId="31485"/>
    <cellStyle name="20% - Accent5 4 3 14" xfId="9366"/>
    <cellStyle name="20% - Accent5 4 3 14 2" xfId="32141"/>
    <cellStyle name="20% - Accent5 4 3 15" xfId="10022"/>
    <cellStyle name="20% - Accent5 4 3 15 2" xfId="32797"/>
    <cellStyle name="20% - Accent5 4 3 16" xfId="10678"/>
    <cellStyle name="20% - Accent5 4 3 16 2" xfId="33453"/>
    <cellStyle name="20% - Accent5 4 3 17" xfId="11334"/>
    <cellStyle name="20% - Accent5 4 3 17 2" xfId="34109"/>
    <cellStyle name="20% - Accent5 4 3 18" xfId="11990"/>
    <cellStyle name="20% - Accent5 4 3 18 2" xfId="34765"/>
    <cellStyle name="20% - Accent5 4 3 19" xfId="12646"/>
    <cellStyle name="20% - Accent5 4 3 19 2" xfId="35421"/>
    <cellStyle name="20% - Accent5 4 3 2" xfId="838"/>
    <cellStyle name="20% - Accent5 4 3 2 10" xfId="8382"/>
    <cellStyle name="20% - Accent5 4 3 2 10 2" xfId="31157"/>
    <cellStyle name="20% - Accent5 4 3 2 11" xfId="9038"/>
    <cellStyle name="20% - Accent5 4 3 2 11 2" xfId="31813"/>
    <cellStyle name="20% - Accent5 4 3 2 12" xfId="9694"/>
    <cellStyle name="20% - Accent5 4 3 2 12 2" xfId="32469"/>
    <cellStyle name="20% - Accent5 4 3 2 13" xfId="10350"/>
    <cellStyle name="20% - Accent5 4 3 2 13 2" xfId="33125"/>
    <cellStyle name="20% - Accent5 4 3 2 14" xfId="11006"/>
    <cellStyle name="20% - Accent5 4 3 2 14 2" xfId="33781"/>
    <cellStyle name="20% - Accent5 4 3 2 15" xfId="11662"/>
    <cellStyle name="20% - Accent5 4 3 2 15 2" xfId="34437"/>
    <cellStyle name="20% - Accent5 4 3 2 16" xfId="12318"/>
    <cellStyle name="20% - Accent5 4 3 2 16 2" xfId="35093"/>
    <cellStyle name="20% - Accent5 4 3 2 17" xfId="12974"/>
    <cellStyle name="20% - Accent5 4 3 2 17 2" xfId="35749"/>
    <cellStyle name="20% - Accent5 4 3 2 18" xfId="13630"/>
    <cellStyle name="20% - Accent5 4 3 2 18 2" xfId="36405"/>
    <cellStyle name="20% - Accent5 4 3 2 19" xfId="14286"/>
    <cellStyle name="20% - Accent5 4 3 2 19 2" xfId="37061"/>
    <cellStyle name="20% - Accent5 4 3 2 2" xfId="1494"/>
    <cellStyle name="20% - Accent5 4 3 2 2 2" xfId="3790"/>
    <cellStyle name="20% - Accent5 4 3 2 2 2 2" xfId="26565"/>
    <cellStyle name="20% - Accent5 4 3 2 2 3" xfId="24269"/>
    <cellStyle name="20% - Accent5 4 3 2 20" xfId="14942"/>
    <cellStyle name="20% - Accent5 4 3 2 20 2" xfId="37717"/>
    <cellStyle name="20% - Accent5 4 3 2 21" xfId="15598"/>
    <cellStyle name="20% - Accent5 4 3 2 21 2" xfId="38373"/>
    <cellStyle name="20% - Accent5 4 3 2 22" xfId="16254"/>
    <cellStyle name="20% - Accent5 4 3 2 22 2" xfId="39029"/>
    <cellStyle name="20% - Accent5 4 3 2 23" xfId="16910"/>
    <cellStyle name="20% - Accent5 4 3 2 23 2" xfId="39685"/>
    <cellStyle name="20% - Accent5 4 3 2 24" xfId="17566"/>
    <cellStyle name="20% - Accent5 4 3 2 24 2" xfId="40341"/>
    <cellStyle name="20% - Accent5 4 3 2 25" xfId="18222"/>
    <cellStyle name="20% - Accent5 4 3 2 25 2" xfId="40997"/>
    <cellStyle name="20% - Accent5 4 3 2 26" xfId="18878"/>
    <cellStyle name="20% - Accent5 4 3 2 26 2" xfId="41653"/>
    <cellStyle name="20% - Accent5 4 3 2 27" xfId="19534"/>
    <cellStyle name="20% - Accent5 4 3 2 27 2" xfId="42309"/>
    <cellStyle name="20% - Accent5 4 3 2 28" xfId="20190"/>
    <cellStyle name="20% - Accent5 4 3 2 28 2" xfId="42965"/>
    <cellStyle name="20% - Accent5 4 3 2 29" xfId="20846"/>
    <cellStyle name="20% - Accent5 4 3 2 29 2" xfId="43621"/>
    <cellStyle name="20% - Accent5 4 3 2 3" xfId="2150"/>
    <cellStyle name="20% - Accent5 4 3 2 3 2" xfId="4446"/>
    <cellStyle name="20% - Accent5 4 3 2 3 2 2" xfId="27221"/>
    <cellStyle name="20% - Accent5 4 3 2 3 3" xfId="24925"/>
    <cellStyle name="20% - Accent5 4 3 2 30" xfId="21502"/>
    <cellStyle name="20% - Accent5 4 3 2 30 2" xfId="44277"/>
    <cellStyle name="20% - Accent5 4 3 2 31" xfId="22158"/>
    <cellStyle name="20% - Accent5 4 3 2 31 2" xfId="44933"/>
    <cellStyle name="20% - Accent5 4 3 2 32" xfId="22814"/>
    <cellStyle name="20% - Accent5 4 3 2 32 2" xfId="45589"/>
    <cellStyle name="20% - Accent5 4 3 2 33" xfId="23613"/>
    <cellStyle name="20% - Accent5 4 3 2 4" xfId="5102"/>
    <cellStyle name="20% - Accent5 4 3 2 4 2" xfId="27877"/>
    <cellStyle name="20% - Accent5 4 3 2 5" xfId="5758"/>
    <cellStyle name="20% - Accent5 4 3 2 5 2" xfId="28533"/>
    <cellStyle name="20% - Accent5 4 3 2 6" xfId="6414"/>
    <cellStyle name="20% - Accent5 4 3 2 6 2" xfId="29189"/>
    <cellStyle name="20% - Accent5 4 3 2 7" xfId="3134"/>
    <cellStyle name="20% - Accent5 4 3 2 7 2" xfId="25909"/>
    <cellStyle name="20% - Accent5 4 3 2 8" xfId="7070"/>
    <cellStyle name="20% - Accent5 4 3 2 8 2" xfId="29845"/>
    <cellStyle name="20% - Accent5 4 3 2 9" xfId="7726"/>
    <cellStyle name="20% - Accent5 4 3 2 9 2" xfId="30501"/>
    <cellStyle name="20% - Accent5 4 3 20" xfId="13302"/>
    <cellStyle name="20% - Accent5 4 3 20 2" xfId="36077"/>
    <cellStyle name="20% - Accent5 4 3 21" xfId="13958"/>
    <cellStyle name="20% - Accent5 4 3 21 2" xfId="36733"/>
    <cellStyle name="20% - Accent5 4 3 22" xfId="14614"/>
    <cellStyle name="20% - Accent5 4 3 22 2" xfId="37389"/>
    <cellStyle name="20% - Accent5 4 3 23" xfId="15270"/>
    <cellStyle name="20% - Accent5 4 3 23 2" xfId="38045"/>
    <cellStyle name="20% - Accent5 4 3 24" xfId="15926"/>
    <cellStyle name="20% - Accent5 4 3 24 2" xfId="38701"/>
    <cellStyle name="20% - Accent5 4 3 25" xfId="16582"/>
    <cellStyle name="20% - Accent5 4 3 25 2" xfId="39357"/>
    <cellStyle name="20% - Accent5 4 3 26" xfId="17238"/>
    <cellStyle name="20% - Accent5 4 3 26 2" xfId="40013"/>
    <cellStyle name="20% - Accent5 4 3 27" xfId="17894"/>
    <cellStyle name="20% - Accent5 4 3 27 2" xfId="40669"/>
    <cellStyle name="20% - Accent5 4 3 28" xfId="18550"/>
    <cellStyle name="20% - Accent5 4 3 28 2" xfId="41325"/>
    <cellStyle name="20% - Accent5 4 3 29" xfId="19206"/>
    <cellStyle name="20% - Accent5 4 3 29 2" xfId="41981"/>
    <cellStyle name="20% - Accent5 4 3 3" xfId="1166"/>
    <cellStyle name="20% - Accent5 4 3 3 2" xfId="2806"/>
    <cellStyle name="20% - Accent5 4 3 3 2 2" xfId="25581"/>
    <cellStyle name="20% - Accent5 4 3 3 3" xfId="23941"/>
    <cellStyle name="20% - Accent5 4 3 30" xfId="19862"/>
    <cellStyle name="20% - Accent5 4 3 30 2" xfId="42637"/>
    <cellStyle name="20% - Accent5 4 3 31" xfId="20518"/>
    <cellStyle name="20% - Accent5 4 3 31 2" xfId="43293"/>
    <cellStyle name="20% - Accent5 4 3 32" xfId="21174"/>
    <cellStyle name="20% - Accent5 4 3 32 2" xfId="43949"/>
    <cellStyle name="20% - Accent5 4 3 33" xfId="21830"/>
    <cellStyle name="20% - Accent5 4 3 33 2" xfId="44605"/>
    <cellStyle name="20% - Accent5 4 3 34" xfId="22486"/>
    <cellStyle name="20% - Accent5 4 3 34 2" xfId="45261"/>
    <cellStyle name="20% - Accent5 4 3 35" xfId="23285"/>
    <cellStyle name="20% - Accent5 4 3 4" xfId="1822"/>
    <cellStyle name="20% - Accent5 4 3 4 2" xfId="3462"/>
    <cellStyle name="20% - Accent5 4 3 4 2 2" xfId="26237"/>
    <cellStyle name="20% - Accent5 4 3 4 3" xfId="24597"/>
    <cellStyle name="20% - Accent5 4 3 5" xfId="4118"/>
    <cellStyle name="20% - Accent5 4 3 5 2" xfId="26893"/>
    <cellStyle name="20% - Accent5 4 3 6" xfId="4774"/>
    <cellStyle name="20% - Accent5 4 3 6 2" xfId="27549"/>
    <cellStyle name="20% - Accent5 4 3 7" xfId="5430"/>
    <cellStyle name="20% - Accent5 4 3 7 2" xfId="28205"/>
    <cellStyle name="20% - Accent5 4 3 8" xfId="6086"/>
    <cellStyle name="20% - Accent5 4 3 8 2" xfId="28861"/>
    <cellStyle name="20% - Accent5 4 3 9" xfId="2478"/>
    <cellStyle name="20% - Accent5 4 3 9 2" xfId="25253"/>
    <cellStyle name="20% - Accent5 4 30" xfId="18365"/>
    <cellStyle name="20% - Accent5 4 30 2" xfId="41140"/>
    <cellStyle name="20% - Accent5 4 31" xfId="19021"/>
    <cellStyle name="20% - Accent5 4 31 2" xfId="41796"/>
    <cellStyle name="20% - Accent5 4 32" xfId="19677"/>
    <cellStyle name="20% - Accent5 4 32 2" xfId="42452"/>
    <cellStyle name="20% - Accent5 4 33" xfId="20333"/>
    <cellStyle name="20% - Accent5 4 33 2" xfId="43108"/>
    <cellStyle name="20% - Accent5 4 34" xfId="20989"/>
    <cellStyle name="20% - Accent5 4 34 2" xfId="43764"/>
    <cellStyle name="20% - Accent5 4 35" xfId="21645"/>
    <cellStyle name="20% - Accent5 4 35 2" xfId="44420"/>
    <cellStyle name="20% - Accent5 4 36" xfId="22301"/>
    <cellStyle name="20% - Accent5 4 36 2" xfId="45076"/>
    <cellStyle name="20% - Accent5 4 37" xfId="240"/>
    <cellStyle name="20% - Accent5 4 38" xfId="22957"/>
    <cellStyle name="20% - Accent5 4 4" xfId="653"/>
    <cellStyle name="20% - Accent5 4 4 10" xfId="8197"/>
    <cellStyle name="20% - Accent5 4 4 10 2" xfId="30972"/>
    <cellStyle name="20% - Accent5 4 4 11" xfId="8853"/>
    <cellStyle name="20% - Accent5 4 4 11 2" xfId="31628"/>
    <cellStyle name="20% - Accent5 4 4 12" xfId="9509"/>
    <cellStyle name="20% - Accent5 4 4 12 2" xfId="32284"/>
    <cellStyle name="20% - Accent5 4 4 13" xfId="10165"/>
    <cellStyle name="20% - Accent5 4 4 13 2" xfId="32940"/>
    <cellStyle name="20% - Accent5 4 4 14" xfId="10821"/>
    <cellStyle name="20% - Accent5 4 4 14 2" xfId="33596"/>
    <cellStyle name="20% - Accent5 4 4 15" xfId="11477"/>
    <cellStyle name="20% - Accent5 4 4 15 2" xfId="34252"/>
    <cellStyle name="20% - Accent5 4 4 16" xfId="12133"/>
    <cellStyle name="20% - Accent5 4 4 16 2" xfId="34908"/>
    <cellStyle name="20% - Accent5 4 4 17" xfId="12789"/>
    <cellStyle name="20% - Accent5 4 4 17 2" xfId="35564"/>
    <cellStyle name="20% - Accent5 4 4 18" xfId="13445"/>
    <cellStyle name="20% - Accent5 4 4 18 2" xfId="36220"/>
    <cellStyle name="20% - Accent5 4 4 19" xfId="14101"/>
    <cellStyle name="20% - Accent5 4 4 19 2" xfId="36876"/>
    <cellStyle name="20% - Accent5 4 4 2" xfId="1309"/>
    <cellStyle name="20% - Accent5 4 4 2 2" xfId="3605"/>
    <cellStyle name="20% - Accent5 4 4 2 2 2" xfId="26380"/>
    <cellStyle name="20% - Accent5 4 4 2 3" xfId="24084"/>
    <cellStyle name="20% - Accent5 4 4 20" xfId="14757"/>
    <cellStyle name="20% - Accent5 4 4 20 2" xfId="37532"/>
    <cellStyle name="20% - Accent5 4 4 21" xfId="15413"/>
    <cellStyle name="20% - Accent5 4 4 21 2" xfId="38188"/>
    <cellStyle name="20% - Accent5 4 4 22" xfId="16069"/>
    <cellStyle name="20% - Accent5 4 4 22 2" xfId="38844"/>
    <cellStyle name="20% - Accent5 4 4 23" xfId="16725"/>
    <cellStyle name="20% - Accent5 4 4 23 2" xfId="39500"/>
    <cellStyle name="20% - Accent5 4 4 24" xfId="17381"/>
    <cellStyle name="20% - Accent5 4 4 24 2" xfId="40156"/>
    <cellStyle name="20% - Accent5 4 4 25" xfId="18037"/>
    <cellStyle name="20% - Accent5 4 4 25 2" xfId="40812"/>
    <cellStyle name="20% - Accent5 4 4 26" xfId="18693"/>
    <cellStyle name="20% - Accent5 4 4 26 2" xfId="41468"/>
    <cellStyle name="20% - Accent5 4 4 27" xfId="19349"/>
    <cellStyle name="20% - Accent5 4 4 27 2" xfId="42124"/>
    <cellStyle name="20% - Accent5 4 4 28" xfId="20005"/>
    <cellStyle name="20% - Accent5 4 4 28 2" xfId="42780"/>
    <cellStyle name="20% - Accent5 4 4 29" xfId="20661"/>
    <cellStyle name="20% - Accent5 4 4 29 2" xfId="43436"/>
    <cellStyle name="20% - Accent5 4 4 3" xfId="1965"/>
    <cellStyle name="20% - Accent5 4 4 3 2" xfId="4261"/>
    <cellStyle name="20% - Accent5 4 4 3 2 2" xfId="27036"/>
    <cellStyle name="20% - Accent5 4 4 3 3" xfId="24740"/>
    <cellStyle name="20% - Accent5 4 4 30" xfId="21317"/>
    <cellStyle name="20% - Accent5 4 4 30 2" xfId="44092"/>
    <cellStyle name="20% - Accent5 4 4 31" xfId="21973"/>
    <cellStyle name="20% - Accent5 4 4 31 2" xfId="44748"/>
    <cellStyle name="20% - Accent5 4 4 32" xfId="22629"/>
    <cellStyle name="20% - Accent5 4 4 32 2" xfId="45404"/>
    <cellStyle name="20% - Accent5 4 4 33" xfId="23428"/>
    <cellStyle name="20% - Accent5 4 4 4" xfId="4917"/>
    <cellStyle name="20% - Accent5 4 4 4 2" xfId="27692"/>
    <cellStyle name="20% - Accent5 4 4 5" xfId="5573"/>
    <cellStyle name="20% - Accent5 4 4 5 2" xfId="28348"/>
    <cellStyle name="20% - Accent5 4 4 6" xfId="6229"/>
    <cellStyle name="20% - Accent5 4 4 6 2" xfId="29004"/>
    <cellStyle name="20% - Accent5 4 4 7" xfId="2949"/>
    <cellStyle name="20% - Accent5 4 4 7 2" xfId="25724"/>
    <cellStyle name="20% - Accent5 4 4 8" xfId="6885"/>
    <cellStyle name="20% - Accent5 4 4 8 2" xfId="29660"/>
    <cellStyle name="20% - Accent5 4 4 9" xfId="7541"/>
    <cellStyle name="20% - Accent5 4 4 9 2" xfId="30316"/>
    <cellStyle name="20% - Accent5 4 5" xfId="326"/>
    <cellStyle name="20% - Accent5 4 5 2" xfId="2621"/>
    <cellStyle name="20% - Accent5 4 5 2 2" xfId="25396"/>
    <cellStyle name="20% - Accent5 4 5 3" xfId="23100"/>
    <cellStyle name="20% - Accent5 4 6" xfId="981"/>
    <cellStyle name="20% - Accent5 4 6 2" xfId="3277"/>
    <cellStyle name="20% - Accent5 4 6 2 2" xfId="26052"/>
    <cellStyle name="20% - Accent5 4 6 3" xfId="23756"/>
    <cellStyle name="20% - Accent5 4 7" xfId="1637"/>
    <cellStyle name="20% - Accent5 4 7 2" xfId="3933"/>
    <cellStyle name="20% - Accent5 4 7 2 2" xfId="26708"/>
    <cellStyle name="20% - Accent5 4 7 3" xfId="24412"/>
    <cellStyle name="20% - Accent5 4 8" xfId="4589"/>
    <cellStyle name="20% - Accent5 4 8 2" xfId="27364"/>
    <cellStyle name="20% - Accent5 4 9" xfId="5245"/>
    <cellStyle name="20% - Accent5 4 9 2" xfId="28020"/>
    <cellStyle name="20% - Accent5 40" xfId="20288"/>
    <cellStyle name="20% - Accent5 40 2" xfId="43063"/>
    <cellStyle name="20% - Accent5 41" xfId="20944"/>
    <cellStyle name="20% - Accent5 41 2" xfId="43719"/>
    <cellStyle name="20% - Accent5 42" xfId="21600"/>
    <cellStyle name="20% - Accent5 42 2" xfId="44375"/>
    <cellStyle name="20% - Accent5 43" xfId="22256"/>
    <cellStyle name="20% - Accent5 43 2" xfId="45031"/>
    <cellStyle name="20% - Accent5 44" xfId="195"/>
    <cellStyle name="20% - Accent5 45" xfId="22912"/>
    <cellStyle name="20% - Accent5 5" xfId="109"/>
    <cellStyle name="20% - Accent5 5 10" xfId="5915"/>
    <cellStyle name="20% - Accent5 5 10 2" xfId="28690"/>
    <cellStyle name="20% - Accent5 5 11" xfId="2307"/>
    <cellStyle name="20% - Accent5 5 11 2" xfId="25082"/>
    <cellStyle name="20% - Accent5 5 12" xfId="6571"/>
    <cellStyle name="20% - Accent5 5 12 2" xfId="29346"/>
    <cellStyle name="20% - Accent5 5 13" xfId="7227"/>
    <cellStyle name="20% - Accent5 5 13 2" xfId="30002"/>
    <cellStyle name="20% - Accent5 5 14" xfId="7883"/>
    <cellStyle name="20% - Accent5 5 14 2" xfId="30658"/>
    <cellStyle name="20% - Accent5 5 15" xfId="8539"/>
    <cellStyle name="20% - Accent5 5 15 2" xfId="31314"/>
    <cellStyle name="20% - Accent5 5 16" xfId="9195"/>
    <cellStyle name="20% - Accent5 5 16 2" xfId="31970"/>
    <cellStyle name="20% - Accent5 5 17" xfId="9851"/>
    <cellStyle name="20% - Accent5 5 17 2" xfId="32626"/>
    <cellStyle name="20% - Accent5 5 18" xfId="10507"/>
    <cellStyle name="20% - Accent5 5 18 2" xfId="33282"/>
    <cellStyle name="20% - Accent5 5 19" xfId="11163"/>
    <cellStyle name="20% - Accent5 5 19 2" xfId="33938"/>
    <cellStyle name="20% - Accent5 5 2" xfId="180"/>
    <cellStyle name="20% - Accent5 5 2 10" xfId="2378"/>
    <cellStyle name="20% - Accent5 5 2 10 2" xfId="25153"/>
    <cellStyle name="20% - Accent5 5 2 11" xfId="6642"/>
    <cellStyle name="20% - Accent5 5 2 11 2" xfId="29417"/>
    <cellStyle name="20% - Accent5 5 2 12" xfId="7298"/>
    <cellStyle name="20% - Accent5 5 2 12 2" xfId="30073"/>
    <cellStyle name="20% - Accent5 5 2 13" xfId="7954"/>
    <cellStyle name="20% - Accent5 5 2 13 2" xfId="30729"/>
    <cellStyle name="20% - Accent5 5 2 14" xfId="8610"/>
    <cellStyle name="20% - Accent5 5 2 14 2" xfId="31385"/>
    <cellStyle name="20% - Accent5 5 2 15" xfId="9266"/>
    <cellStyle name="20% - Accent5 5 2 15 2" xfId="32041"/>
    <cellStyle name="20% - Accent5 5 2 16" xfId="9922"/>
    <cellStyle name="20% - Accent5 5 2 16 2" xfId="32697"/>
    <cellStyle name="20% - Accent5 5 2 17" xfId="10578"/>
    <cellStyle name="20% - Accent5 5 2 17 2" xfId="33353"/>
    <cellStyle name="20% - Accent5 5 2 18" xfId="11234"/>
    <cellStyle name="20% - Accent5 5 2 18 2" xfId="34009"/>
    <cellStyle name="20% - Accent5 5 2 19" xfId="11890"/>
    <cellStyle name="20% - Accent5 5 2 19 2" xfId="34665"/>
    <cellStyle name="20% - Accent5 5 2 2" xfId="594"/>
    <cellStyle name="20% - Accent5 5 2 2 10" xfId="6827"/>
    <cellStyle name="20% - Accent5 5 2 2 10 2" xfId="29602"/>
    <cellStyle name="20% - Accent5 5 2 2 11" xfId="7483"/>
    <cellStyle name="20% - Accent5 5 2 2 11 2" xfId="30258"/>
    <cellStyle name="20% - Accent5 5 2 2 12" xfId="8139"/>
    <cellStyle name="20% - Accent5 5 2 2 12 2" xfId="30914"/>
    <cellStyle name="20% - Accent5 5 2 2 13" xfId="8795"/>
    <cellStyle name="20% - Accent5 5 2 2 13 2" xfId="31570"/>
    <cellStyle name="20% - Accent5 5 2 2 14" xfId="9451"/>
    <cellStyle name="20% - Accent5 5 2 2 14 2" xfId="32226"/>
    <cellStyle name="20% - Accent5 5 2 2 15" xfId="10107"/>
    <cellStyle name="20% - Accent5 5 2 2 15 2" xfId="32882"/>
    <cellStyle name="20% - Accent5 5 2 2 16" xfId="10763"/>
    <cellStyle name="20% - Accent5 5 2 2 16 2" xfId="33538"/>
    <cellStyle name="20% - Accent5 5 2 2 17" xfId="11419"/>
    <cellStyle name="20% - Accent5 5 2 2 17 2" xfId="34194"/>
    <cellStyle name="20% - Accent5 5 2 2 18" xfId="12075"/>
    <cellStyle name="20% - Accent5 5 2 2 18 2" xfId="34850"/>
    <cellStyle name="20% - Accent5 5 2 2 19" xfId="12731"/>
    <cellStyle name="20% - Accent5 5 2 2 19 2" xfId="35506"/>
    <cellStyle name="20% - Accent5 5 2 2 2" xfId="923"/>
    <cellStyle name="20% - Accent5 5 2 2 2 10" xfId="8467"/>
    <cellStyle name="20% - Accent5 5 2 2 2 10 2" xfId="31242"/>
    <cellStyle name="20% - Accent5 5 2 2 2 11" xfId="9123"/>
    <cellStyle name="20% - Accent5 5 2 2 2 11 2" xfId="31898"/>
    <cellStyle name="20% - Accent5 5 2 2 2 12" xfId="9779"/>
    <cellStyle name="20% - Accent5 5 2 2 2 12 2" xfId="32554"/>
    <cellStyle name="20% - Accent5 5 2 2 2 13" xfId="10435"/>
    <cellStyle name="20% - Accent5 5 2 2 2 13 2" xfId="33210"/>
    <cellStyle name="20% - Accent5 5 2 2 2 14" xfId="11091"/>
    <cellStyle name="20% - Accent5 5 2 2 2 14 2" xfId="33866"/>
    <cellStyle name="20% - Accent5 5 2 2 2 15" xfId="11747"/>
    <cellStyle name="20% - Accent5 5 2 2 2 15 2" xfId="34522"/>
    <cellStyle name="20% - Accent5 5 2 2 2 16" xfId="12403"/>
    <cellStyle name="20% - Accent5 5 2 2 2 16 2" xfId="35178"/>
    <cellStyle name="20% - Accent5 5 2 2 2 17" xfId="13059"/>
    <cellStyle name="20% - Accent5 5 2 2 2 17 2" xfId="35834"/>
    <cellStyle name="20% - Accent5 5 2 2 2 18" xfId="13715"/>
    <cellStyle name="20% - Accent5 5 2 2 2 18 2" xfId="36490"/>
    <cellStyle name="20% - Accent5 5 2 2 2 19" xfId="14371"/>
    <cellStyle name="20% - Accent5 5 2 2 2 19 2" xfId="37146"/>
    <cellStyle name="20% - Accent5 5 2 2 2 2" xfId="1579"/>
    <cellStyle name="20% - Accent5 5 2 2 2 2 2" xfId="3875"/>
    <cellStyle name="20% - Accent5 5 2 2 2 2 2 2" xfId="26650"/>
    <cellStyle name="20% - Accent5 5 2 2 2 2 3" xfId="24354"/>
    <cellStyle name="20% - Accent5 5 2 2 2 20" xfId="15027"/>
    <cellStyle name="20% - Accent5 5 2 2 2 20 2" xfId="37802"/>
    <cellStyle name="20% - Accent5 5 2 2 2 21" xfId="15683"/>
    <cellStyle name="20% - Accent5 5 2 2 2 21 2" xfId="38458"/>
    <cellStyle name="20% - Accent5 5 2 2 2 22" xfId="16339"/>
    <cellStyle name="20% - Accent5 5 2 2 2 22 2" xfId="39114"/>
    <cellStyle name="20% - Accent5 5 2 2 2 23" xfId="16995"/>
    <cellStyle name="20% - Accent5 5 2 2 2 23 2" xfId="39770"/>
    <cellStyle name="20% - Accent5 5 2 2 2 24" xfId="17651"/>
    <cellStyle name="20% - Accent5 5 2 2 2 24 2" xfId="40426"/>
    <cellStyle name="20% - Accent5 5 2 2 2 25" xfId="18307"/>
    <cellStyle name="20% - Accent5 5 2 2 2 25 2" xfId="41082"/>
    <cellStyle name="20% - Accent5 5 2 2 2 26" xfId="18963"/>
    <cellStyle name="20% - Accent5 5 2 2 2 26 2" xfId="41738"/>
    <cellStyle name="20% - Accent5 5 2 2 2 27" xfId="19619"/>
    <cellStyle name="20% - Accent5 5 2 2 2 27 2" xfId="42394"/>
    <cellStyle name="20% - Accent5 5 2 2 2 28" xfId="20275"/>
    <cellStyle name="20% - Accent5 5 2 2 2 28 2" xfId="43050"/>
    <cellStyle name="20% - Accent5 5 2 2 2 29" xfId="20931"/>
    <cellStyle name="20% - Accent5 5 2 2 2 29 2" xfId="43706"/>
    <cellStyle name="20% - Accent5 5 2 2 2 3" xfId="2235"/>
    <cellStyle name="20% - Accent5 5 2 2 2 3 2" xfId="4531"/>
    <cellStyle name="20% - Accent5 5 2 2 2 3 2 2" xfId="27306"/>
    <cellStyle name="20% - Accent5 5 2 2 2 3 3" xfId="25010"/>
    <cellStyle name="20% - Accent5 5 2 2 2 30" xfId="21587"/>
    <cellStyle name="20% - Accent5 5 2 2 2 30 2" xfId="44362"/>
    <cellStyle name="20% - Accent5 5 2 2 2 31" xfId="22243"/>
    <cellStyle name="20% - Accent5 5 2 2 2 31 2" xfId="45018"/>
    <cellStyle name="20% - Accent5 5 2 2 2 32" xfId="22899"/>
    <cellStyle name="20% - Accent5 5 2 2 2 32 2" xfId="45674"/>
    <cellStyle name="20% - Accent5 5 2 2 2 33" xfId="23698"/>
    <cellStyle name="20% - Accent5 5 2 2 2 4" xfId="5187"/>
    <cellStyle name="20% - Accent5 5 2 2 2 4 2" xfId="27962"/>
    <cellStyle name="20% - Accent5 5 2 2 2 5" xfId="5843"/>
    <cellStyle name="20% - Accent5 5 2 2 2 5 2" xfId="28618"/>
    <cellStyle name="20% - Accent5 5 2 2 2 6" xfId="6499"/>
    <cellStyle name="20% - Accent5 5 2 2 2 6 2" xfId="29274"/>
    <cellStyle name="20% - Accent5 5 2 2 2 7" xfId="3219"/>
    <cellStyle name="20% - Accent5 5 2 2 2 7 2" xfId="25994"/>
    <cellStyle name="20% - Accent5 5 2 2 2 8" xfId="7155"/>
    <cellStyle name="20% - Accent5 5 2 2 2 8 2" xfId="29930"/>
    <cellStyle name="20% - Accent5 5 2 2 2 9" xfId="7811"/>
    <cellStyle name="20% - Accent5 5 2 2 2 9 2" xfId="30586"/>
    <cellStyle name="20% - Accent5 5 2 2 20" xfId="13387"/>
    <cellStyle name="20% - Accent5 5 2 2 20 2" xfId="36162"/>
    <cellStyle name="20% - Accent5 5 2 2 21" xfId="14043"/>
    <cellStyle name="20% - Accent5 5 2 2 21 2" xfId="36818"/>
    <cellStyle name="20% - Accent5 5 2 2 22" xfId="14699"/>
    <cellStyle name="20% - Accent5 5 2 2 22 2" xfId="37474"/>
    <cellStyle name="20% - Accent5 5 2 2 23" xfId="15355"/>
    <cellStyle name="20% - Accent5 5 2 2 23 2" xfId="38130"/>
    <cellStyle name="20% - Accent5 5 2 2 24" xfId="16011"/>
    <cellStyle name="20% - Accent5 5 2 2 24 2" xfId="38786"/>
    <cellStyle name="20% - Accent5 5 2 2 25" xfId="16667"/>
    <cellStyle name="20% - Accent5 5 2 2 25 2" xfId="39442"/>
    <cellStyle name="20% - Accent5 5 2 2 26" xfId="17323"/>
    <cellStyle name="20% - Accent5 5 2 2 26 2" xfId="40098"/>
    <cellStyle name="20% - Accent5 5 2 2 27" xfId="17979"/>
    <cellStyle name="20% - Accent5 5 2 2 27 2" xfId="40754"/>
    <cellStyle name="20% - Accent5 5 2 2 28" xfId="18635"/>
    <cellStyle name="20% - Accent5 5 2 2 28 2" xfId="41410"/>
    <cellStyle name="20% - Accent5 5 2 2 29" xfId="19291"/>
    <cellStyle name="20% - Accent5 5 2 2 29 2" xfId="42066"/>
    <cellStyle name="20% - Accent5 5 2 2 3" xfId="1251"/>
    <cellStyle name="20% - Accent5 5 2 2 3 2" xfId="2891"/>
    <cellStyle name="20% - Accent5 5 2 2 3 2 2" xfId="25666"/>
    <cellStyle name="20% - Accent5 5 2 2 3 3" xfId="24026"/>
    <cellStyle name="20% - Accent5 5 2 2 30" xfId="19947"/>
    <cellStyle name="20% - Accent5 5 2 2 30 2" xfId="42722"/>
    <cellStyle name="20% - Accent5 5 2 2 31" xfId="20603"/>
    <cellStyle name="20% - Accent5 5 2 2 31 2" xfId="43378"/>
    <cellStyle name="20% - Accent5 5 2 2 32" xfId="21259"/>
    <cellStyle name="20% - Accent5 5 2 2 32 2" xfId="44034"/>
    <cellStyle name="20% - Accent5 5 2 2 33" xfId="21915"/>
    <cellStyle name="20% - Accent5 5 2 2 33 2" xfId="44690"/>
    <cellStyle name="20% - Accent5 5 2 2 34" xfId="22571"/>
    <cellStyle name="20% - Accent5 5 2 2 34 2" xfId="45346"/>
    <cellStyle name="20% - Accent5 5 2 2 35" xfId="23370"/>
    <cellStyle name="20% - Accent5 5 2 2 4" xfId="1907"/>
    <cellStyle name="20% - Accent5 5 2 2 4 2" xfId="3547"/>
    <cellStyle name="20% - Accent5 5 2 2 4 2 2" xfId="26322"/>
    <cellStyle name="20% - Accent5 5 2 2 4 3" xfId="24682"/>
    <cellStyle name="20% - Accent5 5 2 2 5" xfId="4203"/>
    <cellStyle name="20% - Accent5 5 2 2 5 2" xfId="26978"/>
    <cellStyle name="20% - Accent5 5 2 2 6" xfId="4859"/>
    <cellStyle name="20% - Accent5 5 2 2 6 2" xfId="27634"/>
    <cellStyle name="20% - Accent5 5 2 2 7" xfId="5515"/>
    <cellStyle name="20% - Accent5 5 2 2 7 2" xfId="28290"/>
    <cellStyle name="20% - Accent5 5 2 2 8" xfId="6171"/>
    <cellStyle name="20% - Accent5 5 2 2 8 2" xfId="28946"/>
    <cellStyle name="20% - Accent5 5 2 2 9" xfId="2563"/>
    <cellStyle name="20% - Accent5 5 2 2 9 2" xfId="25338"/>
    <cellStyle name="20% - Accent5 5 2 20" xfId="12546"/>
    <cellStyle name="20% - Accent5 5 2 20 2" xfId="35321"/>
    <cellStyle name="20% - Accent5 5 2 21" xfId="13202"/>
    <cellStyle name="20% - Accent5 5 2 21 2" xfId="35977"/>
    <cellStyle name="20% - Accent5 5 2 22" xfId="13858"/>
    <cellStyle name="20% - Accent5 5 2 22 2" xfId="36633"/>
    <cellStyle name="20% - Accent5 5 2 23" xfId="14514"/>
    <cellStyle name="20% - Accent5 5 2 23 2" xfId="37289"/>
    <cellStyle name="20% - Accent5 5 2 24" xfId="15170"/>
    <cellStyle name="20% - Accent5 5 2 24 2" xfId="37945"/>
    <cellStyle name="20% - Accent5 5 2 25" xfId="15826"/>
    <cellStyle name="20% - Accent5 5 2 25 2" xfId="38601"/>
    <cellStyle name="20% - Accent5 5 2 26" xfId="16482"/>
    <cellStyle name="20% - Accent5 5 2 26 2" xfId="39257"/>
    <cellStyle name="20% - Accent5 5 2 27" xfId="17138"/>
    <cellStyle name="20% - Accent5 5 2 27 2" xfId="39913"/>
    <cellStyle name="20% - Accent5 5 2 28" xfId="17794"/>
    <cellStyle name="20% - Accent5 5 2 28 2" xfId="40569"/>
    <cellStyle name="20% - Accent5 5 2 29" xfId="18450"/>
    <cellStyle name="20% - Accent5 5 2 29 2" xfId="41225"/>
    <cellStyle name="20% - Accent5 5 2 3" xfId="738"/>
    <cellStyle name="20% - Accent5 5 2 3 10" xfId="8282"/>
    <cellStyle name="20% - Accent5 5 2 3 10 2" xfId="31057"/>
    <cellStyle name="20% - Accent5 5 2 3 11" xfId="8938"/>
    <cellStyle name="20% - Accent5 5 2 3 11 2" xfId="31713"/>
    <cellStyle name="20% - Accent5 5 2 3 12" xfId="9594"/>
    <cellStyle name="20% - Accent5 5 2 3 12 2" xfId="32369"/>
    <cellStyle name="20% - Accent5 5 2 3 13" xfId="10250"/>
    <cellStyle name="20% - Accent5 5 2 3 13 2" xfId="33025"/>
    <cellStyle name="20% - Accent5 5 2 3 14" xfId="10906"/>
    <cellStyle name="20% - Accent5 5 2 3 14 2" xfId="33681"/>
    <cellStyle name="20% - Accent5 5 2 3 15" xfId="11562"/>
    <cellStyle name="20% - Accent5 5 2 3 15 2" xfId="34337"/>
    <cellStyle name="20% - Accent5 5 2 3 16" xfId="12218"/>
    <cellStyle name="20% - Accent5 5 2 3 16 2" xfId="34993"/>
    <cellStyle name="20% - Accent5 5 2 3 17" xfId="12874"/>
    <cellStyle name="20% - Accent5 5 2 3 17 2" xfId="35649"/>
    <cellStyle name="20% - Accent5 5 2 3 18" xfId="13530"/>
    <cellStyle name="20% - Accent5 5 2 3 18 2" xfId="36305"/>
    <cellStyle name="20% - Accent5 5 2 3 19" xfId="14186"/>
    <cellStyle name="20% - Accent5 5 2 3 19 2" xfId="36961"/>
    <cellStyle name="20% - Accent5 5 2 3 2" xfId="1394"/>
    <cellStyle name="20% - Accent5 5 2 3 2 2" xfId="3690"/>
    <cellStyle name="20% - Accent5 5 2 3 2 2 2" xfId="26465"/>
    <cellStyle name="20% - Accent5 5 2 3 2 3" xfId="24169"/>
    <cellStyle name="20% - Accent5 5 2 3 20" xfId="14842"/>
    <cellStyle name="20% - Accent5 5 2 3 20 2" xfId="37617"/>
    <cellStyle name="20% - Accent5 5 2 3 21" xfId="15498"/>
    <cellStyle name="20% - Accent5 5 2 3 21 2" xfId="38273"/>
    <cellStyle name="20% - Accent5 5 2 3 22" xfId="16154"/>
    <cellStyle name="20% - Accent5 5 2 3 22 2" xfId="38929"/>
    <cellStyle name="20% - Accent5 5 2 3 23" xfId="16810"/>
    <cellStyle name="20% - Accent5 5 2 3 23 2" xfId="39585"/>
    <cellStyle name="20% - Accent5 5 2 3 24" xfId="17466"/>
    <cellStyle name="20% - Accent5 5 2 3 24 2" xfId="40241"/>
    <cellStyle name="20% - Accent5 5 2 3 25" xfId="18122"/>
    <cellStyle name="20% - Accent5 5 2 3 25 2" xfId="40897"/>
    <cellStyle name="20% - Accent5 5 2 3 26" xfId="18778"/>
    <cellStyle name="20% - Accent5 5 2 3 26 2" xfId="41553"/>
    <cellStyle name="20% - Accent5 5 2 3 27" xfId="19434"/>
    <cellStyle name="20% - Accent5 5 2 3 27 2" xfId="42209"/>
    <cellStyle name="20% - Accent5 5 2 3 28" xfId="20090"/>
    <cellStyle name="20% - Accent5 5 2 3 28 2" xfId="42865"/>
    <cellStyle name="20% - Accent5 5 2 3 29" xfId="20746"/>
    <cellStyle name="20% - Accent5 5 2 3 29 2" xfId="43521"/>
    <cellStyle name="20% - Accent5 5 2 3 3" xfId="2050"/>
    <cellStyle name="20% - Accent5 5 2 3 3 2" xfId="4346"/>
    <cellStyle name="20% - Accent5 5 2 3 3 2 2" xfId="27121"/>
    <cellStyle name="20% - Accent5 5 2 3 3 3" xfId="24825"/>
    <cellStyle name="20% - Accent5 5 2 3 30" xfId="21402"/>
    <cellStyle name="20% - Accent5 5 2 3 30 2" xfId="44177"/>
    <cellStyle name="20% - Accent5 5 2 3 31" xfId="22058"/>
    <cellStyle name="20% - Accent5 5 2 3 31 2" xfId="44833"/>
    <cellStyle name="20% - Accent5 5 2 3 32" xfId="22714"/>
    <cellStyle name="20% - Accent5 5 2 3 32 2" xfId="45489"/>
    <cellStyle name="20% - Accent5 5 2 3 33" xfId="23513"/>
    <cellStyle name="20% - Accent5 5 2 3 4" xfId="5002"/>
    <cellStyle name="20% - Accent5 5 2 3 4 2" xfId="27777"/>
    <cellStyle name="20% - Accent5 5 2 3 5" xfId="5658"/>
    <cellStyle name="20% - Accent5 5 2 3 5 2" xfId="28433"/>
    <cellStyle name="20% - Accent5 5 2 3 6" xfId="6314"/>
    <cellStyle name="20% - Accent5 5 2 3 6 2" xfId="29089"/>
    <cellStyle name="20% - Accent5 5 2 3 7" xfId="3034"/>
    <cellStyle name="20% - Accent5 5 2 3 7 2" xfId="25809"/>
    <cellStyle name="20% - Accent5 5 2 3 8" xfId="6970"/>
    <cellStyle name="20% - Accent5 5 2 3 8 2" xfId="29745"/>
    <cellStyle name="20% - Accent5 5 2 3 9" xfId="7626"/>
    <cellStyle name="20% - Accent5 5 2 3 9 2" xfId="30401"/>
    <cellStyle name="20% - Accent5 5 2 30" xfId="19106"/>
    <cellStyle name="20% - Accent5 5 2 30 2" xfId="41881"/>
    <cellStyle name="20% - Accent5 5 2 31" xfId="19762"/>
    <cellStyle name="20% - Accent5 5 2 31 2" xfId="42537"/>
    <cellStyle name="20% - Accent5 5 2 32" xfId="20418"/>
    <cellStyle name="20% - Accent5 5 2 32 2" xfId="43193"/>
    <cellStyle name="20% - Accent5 5 2 33" xfId="21074"/>
    <cellStyle name="20% - Accent5 5 2 33 2" xfId="43849"/>
    <cellStyle name="20% - Accent5 5 2 34" xfId="21730"/>
    <cellStyle name="20% - Accent5 5 2 34 2" xfId="44505"/>
    <cellStyle name="20% - Accent5 5 2 35" xfId="22386"/>
    <cellStyle name="20% - Accent5 5 2 35 2" xfId="45161"/>
    <cellStyle name="20% - Accent5 5 2 36" xfId="23042"/>
    <cellStyle name="20% - Accent5 5 2 4" xfId="411"/>
    <cellStyle name="20% - Accent5 5 2 4 2" xfId="2706"/>
    <cellStyle name="20% - Accent5 5 2 4 2 2" xfId="25481"/>
    <cellStyle name="20% - Accent5 5 2 4 3" xfId="23185"/>
    <cellStyle name="20% - Accent5 5 2 5" xfId="1066"/>
    <cellStyle name="20% - Accent5 5 2 5 2" xfId="3362"/>
    <cellStyle name="20% - Accent5 5 2 5 2 2" xfId="26137"/>
    <cellStyle name="20% - Accent5 5 2 5 3" xfId="23841"/>
    <cellStyle name="20% - Accent5 5 2 6" xfId="1722"/>
    <cellStyle name="20% - Accent5 5 2 6 2" xfId="4018"/>
    <cellStyle name="20% - Accent5 5 2 6 2 2" xfId="26793"/>
    <cellStyle name="20% - Accent5 5 2 6 3" xfId="24497"/>
    <cellStyle name="20% - Accent5 5 2 7" xfId="4674"/>
    <cellStyle name="20% - Accent5 5 2 7 2" xfId="27449"/>
    <cellStyle name="20% - Accent5 5 2 8" xfId="5330"/>
    <cellStyle name="20% - Accent5 5 2 8 2" xfId="28105"/>
    <cellStyle name="20% - Accent5 5 2 9" xfId="5986"/>
    <cellStyle name="20% - Accent5 5 2 9 2" xfId="28761"/>
    <cellStyle name="20% - Accent5 5 20" xfId="11819"/>
    <cellStyle name="20% - Accent5 5 20 2" xfId="34594"/>
    <cellStyle name="20% - Accent5 5 21" xfId="12475"/>
    <cellStyle name="20% - Accent5 5 21 2" xfId="35250"/>
    <cellStyle name="20% - Accent5 5 22" xfId="13131"/>
    <cellStyle name="20% - Accent5 5 22 2" xfId="35906"/>
    <cellStyle name="20% - Accent5 5 23" xfId="13787"/>
    <cellStyle name="20% - Accent5 5 23 2" xfId="36562"/>
    <cellStyle name="20% - Accent5 5 24" xfId="14443"/>
    <cellStyle name="20% - Accent5 5 24 2" xfId="37218"/>
    <cellStyle name="20% - Accent5 5 25" xfId="15099"/>
    <cellStyle name="20% - Accent5 5 25 2" xfId="37874"/>
    <cellStyle name="20% - Accent5 5 26" xfId="15755"/>
    <cellStyle name="20% - Accent5 5 26 2" xfId="38530"/>
    <cellStyle name="20% - Accent5 5 27" xfId="16411"/>
    <cellStyle name="20% - Accent5 5 27 2" xfId="39186"/>
    <cellStyle name="20% - Accent5 5 28" xfId="17067"/>
    <cellStyle name="20% - Accent5 5 28 2" xfId="39842"/>
    <cellStyle name="20% - Accent5 5 29" xfId="17723"/>
    <cellStyle name="20% - Accent5 5 29 2" xfId="40498"/>
    <cellStyle name="20% - Accent5 5 3" xfId="524"/>
    <cellStyle name="20% - Accent5 5 3 10" xfId="6756"/>
    <cellStyle name="20% - Accent5 5 3 10 2" xfId="29531"/>
    <cellStyle name="20% - Accent5 5 3 11" xfId="7412"/>
    <cellStyle name="20% - Accent5 5 3 11 2" xfId="30187"/>
    <cellStyle name="20% - Accent5 5 3 12" xfId="8068"/>
    <cellStyle name="20% - Accent5 5 3 12 2" xfId="30843"/>
    <cellStyle name="20% - Accent5 5 3 13" xfId="8724"/>
    <cellStyle name="20% - Accent5 5 3 13 2" xfId="31499"/>
    <cellStyle name="20% - Accent5 5 3 14" xfId="9380"/>
    <cellStyle name="20% - Accent5 5 3 14 2" xfId="32155"/>
    <cellStyle name="20% - Accent5 5 3 15" xfId="10036"/>
    <cellStyle name="20% - Accent5 5 3 15 2" xfId="32811"/>
    <cellStyle name="20% - Accent5 5 3 16" xfId="10692"/>
    <cellStyle name="20% - Accent5 5 3 16 2" xfId="33467"/>
    <cellStyle name="20% - Accent5 5 3 17" xfId="11348"/>
    <cellStyle name="20% - Accent5 5 3 17 2" xfId="34123"/>
    <cellStyle name="20% - Accent5 5 3 18" xfId="12004"/>
    <cellStyle name="20% - Accent5 5 3 18 2" xfId="34779"/>
    <cellStyle name="20% - Accent5 5 3 19" xfId="12660"/>
    <cellStyle name="20% - Accent5 5 3 19 2" xfId="35435"/>
    <cellStyle name="20% - Accent5 5 3 2" xfId="852"/>
    <cellStyle name="20% - Accent5 5 3 2 10" xfId="8396"/>
    <cellStyle name="20% - Accent5 5 3 2 10 2" xfId="31171"/>
    <cellStyle name="20% - Accent5 5 3 2 11" xfId="9052"/>
    <cellStyle name="20% - Accent5 5 3 2 11 2" xfId="31827"/>
    <cellStyle name="20% - Accent5 5 3 2 12" xfId="9708"/>
    <cellStyle name="20% - Accent5 5 3 2 12 2" xfId="32483"/>
    <cellStyle name="20% - Accent5 5 3 2 13" xfId="10364"/>
    <cellStyle name="20% - Accent5 5 3 2 13 2" xfId="33139"/>
    <cellStyle name="20% - Accent5 5 3 2 14" xfId="11020"/>
    <cellStyle name="20% - Accent5 5 3 2 14 2" xfId="33795"/>
    <cellStyle name="20% - Accent5 5 3 2 15" xfId="11676"/>
    <cellStyle name="20% - Accent5 5 3 2 15 2" xfId="34451"/>
    <cellStyle name="20% - Accent5 5 3 2 16" xfId="12332"/>
    <cellStyle name="20% - Accent5 5 3 2 16 2" xfId="35107"/>
    <cellStyle name="20% - Accent5 5 3 2 17" xfId="12988"/>
    <cellStyle name="20% - Accent5 5 3 2 17 2" xfId="35763"/>
    <cellStyle name="20% - Accent5 5 3 2 18" xfId="13644"/>
    <cellStyle name="20% - Accent5 5 3 2 18 2" xfId="36419"/>
    <cellStyle name="20% - Accent5 5 3 2 19" xfId="14300"/>
    <cellStyle name="20% - Accent5 5 3 2 19 2" xfId="37075"/>
    <cellStyle name="20% - Accent5 5 3 2 2" xfId="1508"/>
    <cellStyle name="20% - Accent5 5 3 2 2 2" xfId="3804"/>
    <cellStyle name="20% - Accent5 5 3 2 2 2 2" xfId="26579"/>
    <cellStyle name="20% - Accent5 5 3 2 2 3" xfId="24283"/>
    <cellStyle name="20% - Accent5 5 3 2 20" xfId="14956"/>
    <cellStyle name="20% - Accent5 5 3 2 20 2" xfId="37731"/>
    <cellStyle name="20% - Accent5 5 3 2 21" xfId="15612"/>
    <cellStyle name="20% - Accent5 5 3 2 21 2" xfId="38387"/>
    <cellStyle name="20% - Accent5 5 3 2 22" xfId="16268"/>
    <cellStyle name="20% - Accent5 5 3 2 22 2" xfId="39043"/>
    <cellStyle name="20% - Accent5 5 3 2 23" xfId="16924"/>
    <cellStyle name="20% - Accent5 5 3 2 23 2" xfId="39699"/>
    <cellStyle name="20% - Accent5 5 3 2 24" xfId="17580"/>
    <cellStyle name="20% - Accent5 5 3 2 24 2" xfId="40355"/>
    <cellStyle name="20% - Accent5 5 3 2 25" xfId="18236"/>
    <cellStyle name="20% - Accent5 5 3 2 25 2" xfId="41011"/>
    <cellStyle name="20% - Accent5 5 3 2 26" xfId="18892"/>
    <cellStyle name="20% - Accent5 5 3 2 26 2" xfId="41667"/>
    <cellStyle name="20% - Accent5 5 3 2 27" xfId="19548"/>
    <cellStyle name="20% - Accent5 5 3 2 27 2" xfId="42323"/>
    <cellStyle name="20% - Accent5 5 3 2 28" xfId="20204"/>
    <cellStyle name="20% - Accent5 5 3 2 28 2" xfId="42979"/>
    <cellStyle name="20% - Accent5 5 3 2 29" xfId="20860"/>
    <cellStyle name="20% - Accent5 5 3 2 29 2" xfId="43635"/>
    <cellStyle name="20% - Accent5 5 3 2 3" xfId="2164"/>
    <cellStyle name="20% - Accent5 5 3 2 3 2" xfId="4460"/>
    <cellStyle name="20% - Accent5 5 3 2 3 2 2" xfId="27235"/>
    <cellStyle name="20% - Accent5 5 3 2 3 3" xfId="24939"/>
    <cellStyle name="20% - Accent5 5 3 2 30" xfId="21516"/>
    <cellStyle name="20% - Accent5 5 3 2 30 2" xfId="44291"/>
    <cellStyle name="20% - Accent5 5 3 2 31" xfId="22172"/>
    <cellStyle name="20% - Accent5 5 3 2 31 2" xfId="44947"/>
    <cellStyle name="20% - Accent5 5 3 2 32" xfId="22828"/>
    <cellStyle name="20% - Accent5 5 3 2 32 2" xfId="45603"/>
    <cellStyle name="20% - Accent5 5 3 2 33" xfId="23627"/>
    <cellStyle name="20% - Accent5 5 3 2 4" xfId="5116"/>
    <cellStyle name="20% - Accent5 5 3 2 4 2" xfId="27891"/>
    <cellStyle name="20% - Accent5 5 3 2 5" xfId="5772"/>
    <cellStyle name="20% - Accent5 5 3 2 5 2" xfId="28547"/>
    <cellStyle name="20% - Accent5 5 3 2 6" xfId="6428"/>
    <cellStyle name="20% - Accent5 5 3 2 6 2" xfId="29203"/>
    <cellStyle name="20% - Accent5 5 3 2 7" xfId="3148"/>
    <cellStyle name="20% - Accent5 5 3 2 7 2" xfId="25923"/>
    <cellStyle name="20% - Accent5 5 3 2 8" xfId="7084"/>
    <cellStyle name="20% - Accent5 5 3 2 8 2" xfId="29859"/>
    <cellStyle name="20% - Accent5 5 3 2 9" xfId="7740"/>
    <cellStyle name="20% - Accent5 5 3 2 9 2" xfId="30515"/>
    <cellStyle name="20% - Accent5 5 3 20" xfId="13316"/>
    <cellStyle name="20% - Accent5 5 3 20 2" xfId="36091"/>
    <cellStyle name="20% - Accent5 5 3 21" xfId="13972"/>
    <cellStyle name="20% - Accent5 5 3 21 2" xfId="36747"/>
    <cellStyle name="20% - Accent5 5 3 22" xfId="14628"/>
    <cellStyle name="20% - Accent5 5 3 22 2" xfId="37403"/>
    <cellStyle name="20% - Accent5 5 3 23" xfId="15284"/>
    <cellStyle name="20% - Accent5 5 3 23 2" xfId="38059"/>
    <cellStyle name="20% - Accent5 5 3 24" xfId="15940"/>
    <cellStyle name="20% - Accent5 5 3 24 2" xfId="38715"/>
    <cellStyle name="20% - Accent5 5 3 25" xfId="16596"/>
    <cellStyle name="20% - Accent5 5 3 25 2" xfId="39371"/>
    <cellStyle name="20% - Accent5 5 3 26" xfId="17252"/>
    <cellStyle name="20% - Accent5 5 3 26 2" xfId="40027"/>
    <cellStyle name="20% - Accent5 5 3 27" xfId="17908"/>
    <cellStyle name="20% - Accent5 5 3 27 2" xfId="40683"/>
    <cellStyle name="20% - Accent5 5 3 28" xfId="18564"/>
    <cellStyle name="20% - Accent5 5 3 28 2" xfId="41339"/>
    <cellStyle name="20% - Accent5 5 3 29" xfId="19220"/>
    <cellStyle name="20% - Accent5 5 3 29 2" xfId="41995"/>
    <cellStyle name="20% - Accent5 5 3 3" xfId="1180"/>
    <cellStyle name="20% - Accent5 5 3 3 2" xfId="2820"/>
    <cellStyle name="20% - Accent5 5 3 3 2 2" xfId="25595"/>
    <cellStyle name="20% - Accent5 5 3 3 3" xfId="23955"/>
    <cellStyle name="20% - Accent5 5 3 30" xfId="19876"/>
    <cellStyle name="20% - Accent5 5 3 30 2" xfId="42651"/>
    <cellStyle name="20% - Accent5 5 3 31" xfId="20532"/>
    <cellStyle name="20% - Accent5 5 3 31 2" xfId="43307"/>
    <cellStyle name="20% - Accent5 5 3 32" xfId="21188"/>
    <cellStyle name="20% - Accent5 5 3 32 2" xfId="43963"/>
    <cellStyle name="20% - Accent5 5 3 33" xfId="21844"/>
    <cellStyle name="20% - Accent5 5 3 33 2" xfId="44619"/>
    <cellStyle name="20% - Accent5 5 3 34" xfId="22500"/>
    <cellStyle name="20% - Accent5 5 3 34 2" xfId="45275"/>
    <cellStyle name="20% - Accent5 5 3 35" xfId="23299"/>
    <cellStyle name="20% - Accent5 5 3 4" xfId="1836"/>
    <cellStyle name="20% - Accent5 5 3 4 2" xfId="3476"/>
    <cellStyle name="20% - Accent5 5 3 4 2 2" xfId="26251"/>
    <cellStyle name="20% - Accent5 5 3 4 3" xfId="24611"/>
    <cellStyle name="20% - Accent5 5 3 5" xfId="4132"/>
    <cellStyle name="20% - Accent5 5 3 5 2" xfId="26907"/>
    <cellStyle name="20% - Accent5 5 3 6" xfId="4788"/>
    <cellStyle name="20% - Accent5 5 3 6 2" xfId="27563"/>
    <cellStyle name="20% - Accent5 5 3 7" xfId="5444"/>
    <cellStyle name="20% - Accent5 5 3 7 2" xfId="28219"/>
    <cellStyle name="20% - Accent5 5 3 8" xfId="6100"/>
    <cellStyle name="20% - Accent5 5 3 8 2" xfId="28875"/>
    <cellStyle name="20% - Accent5 5 3 9" xfId="2492"/>
    <cellStyle name="20% - Accent5 5 3 9 2" xfId="25267"/>
    <cellStyle name="20% - Accent5 5 30" xfId="18379"/>
    <cellStyle name="20% - Accent5 5 30 2" xfId="41154"/>
    <cellStyle name="20% - Accent5 5 31" xfId="19035"/>
    <cellStyle name="20% - Accent5 5 31 2" xfId="41810"/>
    <cellStyle name="20% - Accent5 5 32" xfId="19691"/>
    <cellStyle name="20% - Accent5 5 32 2" xfId="42466"/>
    <cellStyle name="20% - Accent5 5 33" xfId="20347"/>
    <cellStyle name="20% - Accent5 5 33 2" xfId="43122"/>
    <cellStyle name="20% - Accent5 5 34" xfId="21003"/>
    <cellStyle name="20% - Accent5 5 34 2" xfId="43778"/>
    <cellStyle name="20% - Accent5 5 35" xfId="21659"/>
    <cellStyle name="20% - Accent5 5 35 2" xfId="44434"/>
    <cellStyle name="20% - Accent5 5 36" xfId="22315"/>
    <cellStyle name="20% - Accent5 5 36 2" xfId="45090"/>
    <cellStyle name="20% - Accent5 5 37" xfId="254"/>
    <cellStyle name="20% - Accent5 5 38" xfId="22971"/>
    <cellStyle name="20% - Accent5 5 4" xfId="667"/>
    <cellStyle name="20% - Accent5 5 4 10" xfId="8211"/>
    <cellStyle name="20% - Accent5 5 4 10 2" xfId="30986"/>
    <cellStyle name="20% - Accent5 5 4 11" xfId="8867"/>
    <cellStyle name="20% - Accent5 5 4 11 2" xfId="31642"/>
    <cellStyle name="20% - Accent5 5 4 12" xfId="9523"/>
    <cellStyle name="20% - Accent5 5 4 12 2" xfId="32298"/>
    <cellStyle name="20% - Accent5 5 4 13" xfId="10179"/>
    <cellStyle name="20% - Accent5 5 4 13 2" xfId="32954"/>
    <cellStyle name="20% - Accent5 5 4 14" xfId="10835"/>
    <cellStyle name="20% - Accent5 5 4 14 2" xfId="33610"/>
    <cellStyle name="20% - Accent5 5 4 15" xfId="11491"/>
    <cellStyle name="20% - Accent5 5 4 15 2" xfId="34266"/>
    <cellStyle name="20% - Accent5 5 4 16" xfId="12147"/>
    <cellStyle name="20% - Accent5 5 4 16 2" xfId="34922"/>
    <cellStyle name="20% - Accent5 5 4 17" xfId="12803"/>
    <cellStyle name="20% - Accent5 5 4 17 2" xfId="35578"/>
    <cellStyle name="20% - Accent5 5 4 18" xfId="13459"/>
    <cellStyle name="20% - Accent5 5 4 18 2" xfId="36234"/>
    <cellStyle name="20% - Accent5 5 4 19" xfId="14115"/>
    <cellStyle name="20% - Accent5 5 4 19 2" xfId="36890"/>
    <cellStyle name="20% - Accent5 5 4 2" xfId="1323"/>
    <cellStyle name="20% - Accent5 5 4 2 2" xfId="3619"/>
    <cellStyle name="20% - Accent5 5 4 2 2 2" xfId="26394"/>
    <cellStyle name="20% - Accent5 5 4 2 3" xfId="24098"/>
    <cellStyle name="20% - Accent5 5 4 20" xfId="14771"/>
    <cellStyle name="20% - Accent5 5 4 20 2" xfId="37546"/>
    <cellStyle name="20% - Accent5 5 4 21" xfId="15427"/>
    <cellStyle name="20% - Accent5 5 4 21 2" xfId="38202"/>
    <cellStyle name="20% - Accent5 5 4 22" xfId="16083"/>
    <cellStyle name="20% - Accent5 5 4 22 2" xfId="38858"/>
    <cellStyle name="20% - Accent5 5 4 23" xfId="16739"/>
    <cellStyle name="20% - Accent5 5 4 23 2" xfId="39514"/>
    <cellStyle name="20% - Accent5 5 4 24" xfId="17395"/>
    <cellStyle name="20% - Accent5 5 4 24 2" xfId="40170"/>
    <cellStyle name="20% - Accent5 5 4 25" xfId="18051"/>
    <cellStyle name="20% - Accent5 5 4 25 2" xfId="40826"/>
    <cellStyle name="20% - Accent5 5 4 26" xfId="18707"/>
    <cellStyle name="20% - Accent5 5 4 26 2" xfId="41482"/>
    <cellStyle name="20% - Accent5 5 4 27" xfId="19363"/>
    <cellStyle name="20% - Accent5 5 4 27 2" xfId="42138"/>
    <cellStyle name="20% - Accent5 5 4 28" xfId="20019"/>
    <cellStyle name="20% - Accent5 5 4 28 2" xfId="42794"/>
    <cellStyle name="20% - Accent5 5 4 29" xfId="20675"/>
    <cellStyle name="20% - Accent5 5 4 29 2" xfId="43450"/>
    <cellStyle name="20% - Accent5 5 4 3" xfId="1979"/>
    <cellStyle name="20% - Accent5 5 4 3 2" xfId="4275"/>
    <cellStyle name="20% - Accent5 5 4 3 2 2" xfId="27050"/>
    <cellStyle name="20% - Accent5 5 4 3 3" xfId="24754"/>
    <cellStyle name="20% - Accent5 5 4 30" xfId="21331"/>
    <cellStyle name="20% - Accent5 5 4 30 2" xfId="44106"/>
    <cellStyle name="20% - Accent5 5 4 31" xfId="21987"/>
    <cellStyle name="20% - Accent5 5 4 31 2" xfId="44762"/>
    <cellStyle name="20% - Accent5 5 4 32" xfId="22643"/>
    <cellStyle name="20% - Accent5 5 4 32 2" xfId="45418"/>
    <cellStyle name="20% - Accent5 5 4 33" xfId="23442"/>
    <cellStyle name="20% - Accent5 5 4 4" xfId="4931"/>
    <cellStyle name="20% - Accent5 5 4 4 2" xfId="27706"/>
    <cellStyle name="20% - Accent5 5 4 5" xfId="5587"/>
    <cellStyle name="20% - Accent5 5 4 5 2" xfId="28362"/>
    <cellStyle name="20% - Accent5 5 4 6" xfId="6243"/>
    <cellStyle name="20% - Accent5 5 4 6 2" xfId="29018"/>
    <cellStyle name="20% - Accent5 5 4 7" xfId="2963"/>
    <cellStyle name="20% - Accent5 5 4 7 2" xfId="25738"/>
    <cellStyle name="20% - Accent5 5 4 8" xfId="6899"/>
    <cellStyle name="20% - Accent5 5 4 8 2" xfId="29674"/>
    <cellStyle name="20% - Accent5 5 4 9" xfId="7555"/>
    <cellStyle name="20% - Accent5 5 4 9 2" xfId="30330"/>
    <cellStyle name="20% - Accent5 5 5" xfId="340"/>
    <cellStyle name="20% - Accent5 5 5 2" xfId="2635"/>
    <cellStyle name="20% - Accent5 5 5 2 2" xfId="25410"/>
    <cellStyle name="20% - Accent5 5 5 3" xfId="23114"/>
    <cellStyle name="20% - Accent5 5 6" xfId="995"/>
    <cellStyle name="20% - Accent5 5 6 2" xfId="3291"/>
    <cellStyle name="20% - Accent5 5 6 2 2" xfId="26066"/>
    <cellStyle name="20% - Accent5 5 6 3" xfId="23770"/>
    <cellStyle name="20% - Accent5 5 7" xfId="1651"/>
    <cellStyle name="20% - Accent5 5 7 2" xfId="3947"/>
    <cellStyle name="20% - Accent5 5 7 2 2" xfId="26722"/>
    <cellStyle name="20% - Accent5 5 7 3" xfId="24426"/>
    <cellStyle name="20% - Accent5 5 8" xfId="4603"/>
    <cellStyle name="20% - Accent5 5 8 2" xfId="27378"/>
    <cellStyle name="20% - Accent5 5 9" xfId="5259"/>
    <cellStyle name="20% - Accent5 5 9 2" xfId="28034"/>
    <cellStyle name="20% - Accent5 6" xfId="122"/>
    <cellStyle name="20% - Accent5 6 10" xfId="2320"/>
    <cellStyle name="20% - Accent5 6 10 2" xfId="25095"/>
    <cellStyle name="20% - Accent5 6 11" xfId="6584"/>
    <cellStyle name="20% - Accent5 6 11 2" xfId="29359"/>
    <cellStyle name="20% - Accent5 6 12" xfId="7240"/>
    <cellStyle name="20% - Accent5 6 12 2" xfId="30015"/>
    <cellStyle name="20% - Accent5 6 13" xfId="7896"/>
    <cellStyle name="20% - Accent5 6 13 2" xfId="30671"/>
    <cellStyle name="20% - Accent5 6 14" xfId="8552"/>
    <cellStyle name="20% - Accent5 6 14 2" xfId="31327"/>
    <cellStyle name="20% - Accent5 6 15" xfId="9208"/>
    <cellStyle name="20% - Accent5 6 15 2" xfId="31983"/>
    <cellStyle name="20% - Accent5 6 16" xfId="9864"/>
    <cellStyle name="20% - Accent5 6 16 2" xfId="32639"/>
    <cellStyle name="20% - Accent5 6 17" xfId="10520"/>
    <cellStyle name="20% - Accent5 6 17 2" xfId="33295"/>
    <cellStyle name="20% - Accent5 6 18" xfId="11176"/>
    <cellStyle name="20% - Accent5 6 18 2" xfId="33951"/>
    <cellStyle name="20% - Accent5 6 19" xfId="11832"/>
    <cellStyle name="20% - Accent5 6 19 2" xfId="34607"/>
    <cellStyle name="20% - Accent5 6 2" xfId="536"/>
    <cellStyle name="20% - Accent5 6 2 10" xfId="6769"/>
    <cellStyle name="20% - Accent5 6 2 10 2" xfId="29544"/>
    <cellStyle name="20% - Accent5 6 2 11" xfId="7425"/>
    <cellStyle name="20% - Accent5 6 2 11 2" xfId="30200"/>
    <cellStyle name="20% - Accent5 6 2 12" xfId="8081"/>
    <cellStyle name="20% - Accent5 6 2 12 2" xfId="30856"/>
    <cellStyle name="20% - Accent5 6 2 13" xfId="8737"/>
    <cellStyle name="20% - Accent5 6 2 13 2" xfId="31512"/>
    <cellStyle name="20% - Accent5 6 2 14" xfId="9393"/>
    <cellStyle name="20% - Accent5 6 2 14 2" xfId="32168"/>
    <cellStyle name="20% - Accent5 6 2 15" xfId="10049"/>
    <cellStyle name="20% - Accent5 6 2 15 2" xfId="32824"/>
    <cellStyle name="20% - Accent5 6 2 16" xfId="10705"/>
    <cellStyle name="20% - Accent5 6 2 16 2" xfId="33480"/>
    <cellStyle name="20% - Accent5 6 2 17" xfId="11361"/>
    <cellStyle name="20% - Accent5 6 2 17 2" xfId="34136"/>
    <cellStyle name="20% - Accent5 6 2 18" xfId="12017"/>
    <cellStyle name="20% - Accent5 6 2 18 2" xfId="34792"/>
    <cellStyle name="20% - Accent5 6 2 19" xfId="12673"/>
    <cellStyle name="20% - Accent5 6 2 19 2" xfId="35448"/>
    <cellStyle name="20% - Accent5 6 2 2" xfId="865"/>
    <cellStyle name="20% - Accent5 6 2 2 10" xfId="8409"/>
    <cellStyle name="20% - Accent5 6 2 2 10 2" xfId="31184"/>
    <cellStyle name="20% - Accent5 6 2 2 11" xfId="9065"/>
    <cellStyle name="20% - Accent5 6 2 2 11 2" xfId="31840"/>
    <cellStyle name="20% - Accent5 6 2 2 12" xfId="9721"/>
    <cellStyle name="20% - Accent5 6 2 2 12 2" xfId="32496"/>
    <cellStyle name="20% - Accent5 6 2 2 13" xfId="10377"/>
    <cellStyle name="20% - Accent5 6 2 2 13 2" xfId="33152"/>
    <cellStyle name="20% - Accent5 6 2 2 14" xfId="11033"/>
    <cellStyle name="20% - Accent5 6 2 2 14 2" xfId="33808"/>
    <cellStyle name="20% - Accent5 6 2 2 15" xfId="11689"/>
    <cellStyle name="20% - Accent5 6 2 2 15 2" xfId="34464"/>
    <cellStyle name="20% - Accent5 6 2 2 16" xfId="12345"/>
    <cellStyle name="20% - Accent5 6 2 2 16 2" xfId="35120"/>
    <cellStyle name="20% - Accent5 6 2 2 17" xfId="13001"/>
    <cellStyle name="20% - Accent5 6 2 2 17 2" xfId="35776"/>
    <cellStyle name="20% - Accent5 6 2 2 18" xfId="13657"/>
    <cellStyle name="20% - Accent5 6 2 2 18 2" xfId="36432"/>
    <cellStyle name="20% - Accent5 6 2 2 19" xfId="14313"/>
    <cellStyle name="20% - Accent5 6 2 2 19 2" xfId="37088"/>
    <cellStyle name="20% - Accent5 6 2 2 2" xfId="1521"/>
    <cellStyle name="20% - Accent5 6 2 2 2 2" xfId="3817"/>
    <cellStyle name="20% - Accent5 6 2 2 2 2 2" xfId="26592"/>
    <cellStyle name="20% - Accent5 6 2 2 2 3" xfId="24296"/>
    <cellStyle name="20% - Accent5 6 2 2 20" xfId="14969"/>
    <cellStyle name="20% - Accent5 6 2 2 20 2" xfId="37744"/>
    <cellStyle name="20% - Accent5 6 2 2 21" xfId="15625"/>
    <cellStyle name="20% - Accent5 6 2 2 21 2" xfId="38400"/>
    <cellStyle name="20% - Accent5 6 2 2 22" xfId="16281"/>
    <cellStyle name="20% - Accent5 6 2 2 22 2" xfId="39056"/>
    <cellStyle name="20% - Accent5 6 2 2 23" xfId="16937"/>
    <cellStyle name="20% - Accent5 6 2 2 23 2" xfId="39712"/>
    <cellStyle name="20% - Accent5 6 2 2 24" xfId="17593"/>
    <cellStyle name="20% - Accent5 6 2 2 24 2" xfId="40368"/>
    <cellStyle name="20% - Accent5 6 2 2 25" xfId="18249"/>
    <cellStyle name="20% - Accent5 6 2 2 25 2" xfId="41024"/>
    <cellStyle name="20% - Accent5 6 2 2 26" xfId="18905"/>
    <cellStyle name="20% - Accent5 6 2 2 26 2" xfId="41680"/>
    <cellStyle name="20% - Accent5 6 2 2 27" xfId="19561"/>
    <cellStyle name="20% - Accent5 6 2 2 27 2" xfId="42336"/>
    <cellStyle name="20% - Accent5 6 2 2 28" xfId="20217"/>
    <cellStyle name="20% - Accent5 6 2 2 28 2" xfId="42992"/>
    <cellStyle name="20% - Accent5 6 2 2 29" xfId="20873"/>
    <cellStyle name="20% - Accent5 6 2 2 29 2" xfId="43648"/>
    <cellStyle name="20% - Accent5 6 2 2 3" xfId="2177"/>
    <cellStyle name="20% - Accent5 6 2 2 3 2" xfId="4473"/>
    <cellStyle name="20% - Accent5 6 2 2 3 2 2" xfId="27248"/>
    <cellStyle name="20% - Accent5 6 2 2 3 3" xfId="24952"/>
    <cellStyle name="20% - Accent5 6 2 2 30" xfId="21529"/>
    <cellStyle name="20% - Accent5 6 2 2 30 2" xfId="44304"/>
    <cellStyle name="20% - Accent5 6 2 2 31" xfId="22185"/>
    <cellStyle name="20% - Accent5 6 2 2 31 2" xfId="44960"/>
    <cellStyle name="20% - Accent5 6 2 2 32" xfId="22841"/>
    <cellStyle name="20% - Accent5 6 2 2 32 2" xfId="45616"/>
    <cellStyle name="20% - Accent5 6 2 2 33" xfId="23640"/>
    <cellStyle name="20% - Accent5 6 2 2 4" xfId="5129"/>
    <cellStyle name="20% - Accent5 6 2 2 4 2" xfId="27904"/>
    <cellStyle name="20% - Accent5 6 2 2 5" xfId="5785"/>
    <cellStyle name="20% - Accent5 6 2 2 5 2" xfId="28560"/>
    <cellStyle name="20% - Accent5 6 2 2 6" xfId="6441"/>
    <cellStyle name="20% - Accent5 6 2 2 6 2" xfId="29216"/>
    <cellStyle name="20% - Accent5 6 2 2 7" xfId="3161"/>
    <cellStyle name="20% - Accent5 6 2 2 7 2" xfId="25936"/>
    <cellStyle name="20% - Accent5 6 2 2 8" xfId="7097"/>
    <cellStyle name="20% - Accent5 6 2 2 8 2" xfId="29872"/>
    <cellStyle name="20% - Accent5 6 2 2 9" xfId="7753"/>
    <cellStyle name="20% - Accent5 6 2 2 9 2" xfId="30528"/>
    <cellStyle name="20% - Accent5 6 2 20" xfId="13329"/>
    <cellStyle name="20% - Accent5 6 2 20 2" xfId="36104"/>
    <cellStyle name="20% - Accent5 6 2 21" xfId="13985"/>
    <cellStyle name="20% - Accent5 6 2 21 2" xfId="36760"/>
    <cellStyle name="20% - Accent5 6 2 22" xfId="14641"/>
    <cellStyle name="20% - Accent5 6 2 22 2" xfId="37416"/>
    <cellStyle name="20% - Accent5 6 2 23" xfId="15297"/>
    <cellStyle name="20% - Accent5 6 2 23 2" xfId="38072"/>
    <cellStyle name="20% - Accent5 6 2 24" xfId="15953"/>
    <cellStyle name="20% - Accent5 6 2 24 2" xfId="38728"/>
    <cellStyle name="20% - Accent5 6 2 25" xfId="16609"/>
    <cellStyle name="20% - Accent5 6 2 25 2" xfId="39384"/>
    <cellStyle name="20% - Accent5 6 2 26" xfId="17265"/>
    <cellStyle name="20% - Accent5 6 2 26 2" xfId="40040"/>
    <cellStyle name="20% - Accent5 6 2 27" xfId="17921"/>
    <cellStyle name="20% - Accent5 6 2 27 2" xfId="40696"/>
    <cellStyle name="20% - Accent5 6 2 28" xfId="18577"/>
    <cellStyle name="20% - Accent5 6 2 28 2" xfId="41352"/>
    <cellStyle name="20% - Accent5 6 2 29" xfId="19233"/>
    <cellStyle name="20% - Accent5 6 2 29 2" xfId="42008"/>
    <cellStyle name="20% - Accent5 6 2 3" xfId="1193"/>
    <cellStyle name="20% - Accent5 6 2 3 2" xfId="2833"/>
    <cellStyle name="20% - Accent5 6 2 3 2 2" xfId="25608"/>
    <cellStyle name="20% - Accent5 6 2 3 3" xfId="23968"/>
    <cellStyle name="20% - Accent5 6 2 30" xfId="19889"/>
    <cellStyle name="20% - Accent5 6 2 30 2" xfId="42664"/>
    <cellStyle name="20% - Accent5 6 2 31" xfId="20545"/>
    <cellStyle name="20% - Accent5 6 2 31 2" xfId="43320"/>
    <cellStyle name="20% - Accent5 6 2 32" xfId="21201"/>
    <cellStyle name="20% - Accent5 6 2 32 2" xfId="43976"/>
    <cellStyle name="20% - Accent5 6 2 33" xfId="21857"/>
    <cellStyle name="20% - Accent5 6 2 33 2" xfId="44632"/>
    <cellStyle name="20% - Accent5 6 2 34" xfId="22513"/>
    <cellStyle name="20% - Accent5 6 2 34 2" xfId="45288"/>
    <cellStyle name="20% - Accent5 6 2 35" xfId="23312"/>
    <cellStyle name="20% - Accent5 6 2 4" xfId="1849"/>
    <cellStyle name="20% - Accent5 6 2 4 2" xfId="3489"/>
    <cellStyle name="20% - Accent5 6 2 4 2 2" xfId="26264"/>
    <cellStyle name="20% - Accent5 6 2 4 3" xfId="24624"/>
    <cellStyle name="20% - Accent5 6 2 5" xfId="4145"/>
    <cellStyle name="20% - Accent5 6 2 5 2" xfId="26920"/>
    <cellStyle name="20% - Accent5 6 2 6" xfId="4801"/>
    <cellStyle name="20% - Accent5 6 2 6 2" xfId="27576"/>
    <cellStyle name="20% - Accent5 6 2 7" xfId="5457"/>
    <cellStyle name="20% - Accent5 6 2 7 2" xfId="28232"/>
    <cellStyle name="20% - Accent5 6 2 8" xfId="6113"/>
    <cellStyle name="20% - Accent5 6 2 8 2" xfId="28888"/>
    <cellStyle name="20% - Accent5 6 2 9" xfId="2505"/>
    <cellStyle name="20% - Accent5 6 2 9 2" xfId="25280"/>
    <cellStyle name="20% - Accent5 6 20" xfId="12488"/>
    <cellStyle name="20% - Accent5 6 20 2" xfId="35263"/>
    <cellStyle name="20% - Accent5 6 21" xfId="13144"/>
    <cellStyle name="20% - Accent5 6 21 2" xfId="35919"/>
    <cellStyle name="20% - Accent5 6 22" xfId="13800"/>
    <cellStyle name="20% - Accent5 6 22 2" xfId="36575"/>
    <cellStyle name="20% - Accent5 6 23" xfId="14456"/>
    <cellStyle name="20% - Accent5 6 23 2" xfId="37231"/>
    <cellStyle name="20% - Accent5 6 24" xfId="15112"/>
    <cellStyle name="20% - Accent5 6 24 2" xfId="37887"/>
    <cellStyle name="20% - Accent5 6 25" xfId="15768"/>
    <cellStyle name="20% - Accent5 6 25 2" xfId="38543"/>
    <cellStyle name="20% - Accent5 6 26" xfId="16424"/>
    <cellStyle name="20% - Accent5 6 26 2" xfId="39199"/>
    <cellStyle name="20% - Accent5 6 27" xfId="17080"/>
    <cellStyle name="20% - Accent5 6 27 2" xfId="39855"/>
    <cellStyle name="20% - Accent5 6 28" xfId="17736"/>
    <cellStyle name="20% - Accent5 6 28 2" xfId="40511"/>
    <cellStyle name="20% - Accent5 6 29" xfId="18392"/>
    <cellStyle name="20% - Accent5 6 29 2" xfId="41167"/>
    <cellStyle name="20% - Accent5 6 3" xfId="680"/>
    <cellStyle name="20% - Accent5 6 3 10" xfId="8224"/>
    <cellStyle name="20% - Accent5 6 3 10 2" xfId="30999"/>
    <cellStyle name="20% - Accent5 6 3 11" xfId="8880"/>
    <cellStyle name="20% - Accent5 6 3 11 2" xfId="31655"/>
    <cellStyle name="20% - Accent5 6 3 12" xfId="9536"/>
    <cellStyle name="20% - Accent5 6 3 12 2" xfId="32311"/>
    <cellStyle name="20% - Accent5 6 3 13" xfId="10192"/>
    <cellStyle name="20% - Accent5 6 3 13 2" xfId="32967"/>
    <cellStyle name="20% - Accent5 6 3 14" xfId="10848"/>
    <cellStyle name="20% - Accent5 6 3 14 2" xfId="33623"/>
    <cellStyle name="20% - Accent5 6 3 15" xfId="11504"/>
    <cellStyle name="20% - Accent5 6 3 15 2" xfId="34279"/>
    <cellStyle name="20% - Accent5 6 3 16" xfId="12160"/>
    <cellStyle name="20% - Accent5 6 3 16 2" xfId="34935"/>
    <cellStyle name="20% - Accent5 6 3 17" xfId="12816"/>
    <cellStyle name="20% - Accent5 6 3 17 2" xfId="35591"/>
    <cellStyle name="20% - Accent5 6 3 18" xfId="13472"/>
    <cellStyle name="20% - Accent5 6 3 18 2" xfId="36247"/>
    <cellStyle name="20% - Accent5 6 3 19" xfId="14128"/>
    <cellStyle name="20% - Accent5 6 3 19 2" xfId="36903"/>
    <cellStyle name="20% - Accent5 6 3 2" xfId="1336"/>
    <cellStyle name="20% - Accent5 6 3 2 2" xfId="3632"/>
    <cellStyle name="20% - Accent5 6 3 2 2 2" xfId="26407"/>
    <cellStyle name="20% - Accent5 6 3 2 3" xfId="24111"/>
    <cellStyle name="20% - Accent5 6 3 20" xfId="14784"/>
    <cellStyle name="20% - Accent5 6 3 20 2" xfId="37559"/>
    <cellStyle name="20% - Accent5 6 3 21" xfId="15440"/>
    <cellStyle name="20% - Accent5 6 3 21 2" xfId="38215"/>
    <cellStyle name="20% - Accent5 6 3 22" xfId="16096"/>
    <cellStyle name="20% - Accent5 6 3 22 2" xfId="38871"/>
    <cellStyle name="20% - Accent5 6 3 23" xfId="16752"/>
    <cellStyle name="20% - Accent5 6 3 23 2" xfId="39527"/>
    <cellStyle name="20% - Accent5 6 3 24" xfId="17408"/>
    <cellStyle name="20% - Accent5 6 3 24 2" xfId="40183"/>
    <cellStyle name="20% - Accent5 6 3 25" xfId="18064"/>
    <cellStyle name="20% - Accent5 6 3 25 2" xfId="40839"/>
    <cellStyle name="20% - Accent5 6 3 26" xfId="18720"/>
    <cellStyle name="20% - Accent5 6 3 26 2" xfId="41495"/>
    <cellStyle name="20% - Accent5 6 3 27" xfId="19376"/>
    <cellStyle name="20% - Accent5 6 3 27 2" xfId="42151"/>
    <cellStyle name="20% - Accent5 6 3 28" xfId="20032"/>
    <cellStyle name="20% - Accent5 6 3 28 2" xfId="42807"/>
    <cellStyle name="20% - Accent5 6 3 29" xfId="20688"/>
    <cellStyle name="20% - Accent5 6 3 29 2" xfId="43463"/>
    <cellStyle name="20% - Accent5 6 3 3" xfId="1992"/>
    <cellStyle name="20% - Accent5 6 3 3 2" xfId="4288"/>
    <cellStyle name="20% - Accent5 6 3 3 2 2" xfId="27063"/>
    <cellStyle name="20% - Accent5 6 3 3 3" xfId="24767"/>
    <cellStyle name="20% - Accent5 6 3 30" xfId="21344"/>
    <cellStyle name="20% - Accent5 6 3 30 2" xfId="44119"/>
    <cellStyle name="20% - Accent5 6 3 31" xfId="22000"/>
    <cellStyle name="20% - Accent5 6 3 31 2" xfId="44775"/>
    <cellStyle name="20% - Accent5 6 3 32" xfId="22656"/>
    <cellStyle name="20% - Accent5 6 3 32 2" xfId="45431"/>
    <cellStyle name="20% - Accent5 6 3 33" xfId="23455"/>
    <cellStyle name="20% - Accent5 6 3 4" xfId="4944"/>
    <cellStyle name="20% - Accent5 6 3 4 2" xfId="27719"/>
    <cellStyle name="20% - Accent5 6 3 5" xfId="5600"/>
    <cellStyle name="20% - Accent5 6 3 5 2" xfId="28375"/>
    <cellStyle name="20% - Accent5 6 3 6" xfId="6256"/>
    <cellStyle name="20% - Accent5 6 3 6 2" xfId="29031"/>
    <cellStyle name="20% - Accent5 6 3 7" xfId="2976"/>
    <cellStyle name="20% - Accent5 6 3 7 2" xfId="25751"/>
    <cellStyle name="20% - Accent5 6 3 8" xfId="6912"/>
    <cellStyle name="20% - Accent5 6 3 8 2" xfId="29687"/>
    <cellStyle name="20% - Accent5 6 3 9" xfId="7568"/>
    <cellStyle name="20% - Accent5 6 3 9 2" xfId="30343"/>
    <cellStyle name="20% - Accent5 6 30" xfId="19048"/>
    <cellStyle name="20% - Accent5 6 30 2" xfId="41823"/>
    <cellStyle name="20% - Accent5 6 31" xfId="19704"/>
    <cellStyle name="20% - Accent5 6 31 2" xfId="42479"/>
    <cellStyle name="20% - Accent5 6 32" xfId="20360"/>
    <cellStyle name="20% - Accent5 6 32 2" xfId="43135"/>
    <cellStyle name="20% - Accent5 6 33" xfId="21016"/>
    <cellStyle name="20% - Accent5 6 33 2" xfId="43791"/>
    <cellStyle name="20% - Accent5 6 34" xfId="21672"/>
    <cellStyle name="20% - Accent5 6 34 2" xfId="44447"/>
    <cellStyle name="20% - Accent5 6 35" xfId="22328"/>
    <cellStyle name="20% - Accent5 6 35 2" xfId="45103"/>
    <cellStyle name="20% - Accent5 6 36" xfId="267"/>
    <cellStyle name="20% - Accent5 6 37" xfId="22984"/>
    <cellStyle name="20% - Accent5 6 4" xfId="353"/>
    <cellStyle name="20% - Accent5 6 4 2" xfId="2648"/>
    <cellStyle name="20% - Accent5 6 4 2 2" xfId="25423"/>
    <cellStyle name="20% - Accent5 6 4 3" xfId="23127"/>
    <cellStyle name="20% - Accent5 6 5" xfId="1008"/>
    <cellStyle name="20% - Accent5 6 5 2" xfId="3304"/>
    <cellStyle name="20% - Accent5 6 5 2 2" xfId="26079"/>
    <cellStyle name="20% - Accent5 6 5 3" xfId="23783"/>
    <cellStyle name="20% - Accent5 6 6" xfId="1664"/>
    <cellStyle name="20% - Accent5 6 6 2" xfId="3960"/>
    <cellStyle name="20% - Accent5 6 6 2 2" xfId="26735"/>
    <cellStyle name="20% - Accent5 6 6 3" xfId="24439"/>
    <cellStyle name="20% - Accent5 6 7" xfId="4616"/>
    <cellStyle name="20% - Accent5 6 7 2" xfId="27391"/>
    <cellStyle name="20% - Accent5 6 8" xfId="5272"/>
    <cellStyle name="20% - Accent5 6 8 2" xfId="28047"/>
    <cellStyle name="20% - Accent5 6 9" xfId="5928"/>
    <cellStyle name="20% - Accent5 6 9 2" xfId="28703"/>
    <cellStyle name="20% - Accent5 7" xfId="426"/>
    <cellStyle name="20% - Accent5 7 10" xfId="6657"/>
    <cellStyle name="20% - Accent5 7 10 2" xfId="29432"/>
    <cellStyle name="20% - Accent5 7 11" xfId="7313"/>
    <cellStyle name="20% - Accent5 7 11 2" xfId="30088"/>
    <cellStyle name="20% - Accent5 7 12" xfId="7969"/>
    <cellStyle name="20% - Accent5 7 12 2" xfId="30744"/>
    <cellStyle name="20% - Accent5 7 13" xfId="8625"/>
    <cellStyle name="20% - Accent5 7 13 2" xfId="31400"/>
    <cellStyle name="20% - Accent5 7 14" xfId="9281"/>
    <cellStyle name="20% - Accent5 7 14 2" xfId="32056"/>
    <cellStyle name="20% - Accent5 7 15" xfId="9937"/>
    <cellStyle name="20% - Accent5 7 15 2" xfId="32712"/>
    <cellStyle name="20% - Accent5 7 16" xfId="10593"/>
    <cellStyle name="20% - Accent5 7 16 2" xfId="33368"/>
    <cellStyle name="20% - Accent5 7 17" xfId="11249"/>
    <cellStyle name="20% - Accent5 7 17 2" xfId="34024"/>
    <cellStyle name="20% - Accent5 7 18" xfId="11905"/>
    <cellStyle name="20% - Accent5 7 18 2" xfId="34680"/>
    <cellStyle name="20% - Accent5 7 19" xfId="12561"/>
    <cellStyle name="20% - Accent5 7 19 2" xfId="35336"/>
    <cellStyle name="20% - Accent5 7 2" xfId="753"/>
    <cellStyle name="20% - Accent5 7 2 10" xfId="8297"/>
    <cellStyle name="20% - Accent5 7 2 10 2" xfId="31072"/>
    <cellStyle name="20% - Accent5 7 2 11" xfId="8953"/>
    <cellStyle name="20% - Accent5 7 2 11 2" xfId="31728"/>
    <cellStyle name="20% - Accent5 7 2 12" xfId="9609"/>
    <cellStyle name="20% - Accent5 7 2 12 2" xfId="32384"/>
    <cellStyle name="20% - Accent5 7 2 13" xfId="10265"/>
    <cellStyle name="20% - Accent5 7 2 13 2" xfId="33040"/>
    <cellStyle name="20% - Accent5 7 2 14" xfId="10921"/>
    <cellStyle name="20% - Accent5 7 2 14 2" xfId="33696"/>
    <cellStyle name="20% - Accent5 7 2 15" xfId="11577"/>
    <cellStyle name="20% - Accent5 7 2 15 2" xfId="34352"/>
    <cellStyle name="20% - Accent5 7 2 16" xfId="12233"/>
    <cellStyle name="20% - Accent5 7 2 16 2" xfId="35008"/>
    <cellStyle name="20% - Accent5 7 2 17" xfId="12889"/>
    <cellStyle name="20% - Accent5 7 2 17 2" xfId="35664"/>
    <cellStyle name="20% - Accent5 7 2 18" xfId="13545"/>
    <cellStyle name="20% - Accent5 7 2 18 2" xfId="36320"/>
    <cellStyle name="20% - Accent5 7 2 19" xfId="14201"/>
    <cellStyle name="20% - Accent5 7 2 19 2" xfId="36976"/>
    <cellStyle name="20% - Accent5 7 2 2" xfId="1409"/>
    <cellStyle name="20% - Accent5 7 2 2 2" xfId="3705"/>
    <cellStyle name="20% - Accent5 7 2 2 2 2" xfId="26480"/>
    <cellStyle name="20% - Accent5 7 2 2 3" xfId="24184"/>
    <cellStyle name="20% - Accent5 7 2 20" xfId="14857"/>
    <cellStyle name="20% - Accent5 7 2 20 2" xfId="37632"/>
    <cellStyle name="20% - Accent5 7 2 21" xfId="15513"/>
    <cellStyle name="20% - Accent5 7 2 21 2" xfId="38288"/>
    <cellStyle name="20% - Accent5 7 2 22" xfId="16169"/>
    <cellStyle name="20% - Accent5 7 2 22 2" xfId="38944"/>
    <cellStyle name="20% - Accent5 7 2 23" xfId="16825"/>
    <cellStyle name="20% - Accent5 7 2 23 2" xfId="39600"/>
    <cellStyle name="20% - Accent5 7 2 24" xfId="17481"/>
    <cellStyle name="20% - Accent5 7 2 24 2" xfId="40256"/>
    <cellStyle name="20% - Accent5 7 2 25" xfId="18137"/>
    <cellStyle name="20% - Accent5 7 2 25 2" xfId="40912"/>
    <cellStyle name="20% - Accent5 7 2 26" xfId="18793"/>
    <cellStyle name="20% - Accent5 7 2 26 2" xfId="41568"/>
    <cellStyle name="20% - Accent5 7 2 27" xfId="19449"/>
    <cellStyle name="20% - Accent5 7 2 27 2" xfId="42224"/>
    <cellStyle name="20% - Accent5 7 2 28" xfId="20105"/>
    <cellStyle name="20% - Accent5 7 2 28 2" xfId="42880"/>
    <cellStyle name="20% - Accent5 7 2 29" xfId="20761"/>
    <cellStyle name="20% - Accent5 7 2 29 2" xfId="43536"/>
    <cellStyle name="20% - Accent5 7 2 3" xfId="2065"/>
    <cellStyle name="20% - Accent5 7 2 3 2" xfId="4361"/>
    <cellStyle name="20% - Accent5 7 2 3 2 2" xfId="27136"/>
    <cellStyle name="20% - Accent5 7 2 3 3" xfId="24840"/>
    <cellStyle name="20% - Accent5 7 2 30" xfId="21417"/>
    <cellStyle name="20% - Accent5 7 2 30 2" xfId="44192"/>
    <cellStyle name="20% - Accent5 7 2 31" xfId="22073"/>
    <cellStyle name="20% - Accent5 7 2 31 2" xfId="44848"/>
    <cellStyle name="20% - Accent5 7 2 32" xfId="22729"/>
    <cellStyle name="20% - Accent5 7 2 32 2" xfId="45504"/>
    <cellStyle name="20% - Accent5 7 2 33" xfId="23528"/>
    <cellStyle name="20% - Accent5 7 2 4" xfId="5017"/>
    <cellStyle name="20% - Accent5 7 2 4 2" xfId="27792"/>
    <cellStyle name="20% - Accent5 7 2 5" xfId="5673"/>
    <cellStyle name="20% - Accent5 7 2 5 2" xfId="28448"/>
    <cellStyle name="20% - Accent5 7 2 6" xfId="6329"/>
    <cellStyle name="20% - Accent5 7 2 6 2" xfId="29104"/>
    <cellStyle name="20% - Accent5 7 2 7" xfId="3049"/>
    <cellStyle name="20% - Accent5 7 2 7 2" xfId="25824"/>
    <cellStyle name="20% - Accent5 7 2 8" xfId="6985"/>
    <cellStyle name="20% - Accent5 7 2 8 2" xfId="29760"/>
    <cellStyle name="20% - Accent5 7 2 9" xfId="7641"/>
    <cellStyle name="20% - Accent5 7 2 9 2" xfId="30416"/>
    <cellStyle name="20% - Accent5 7 20" xfId="13217"/>
    <cellStyle name="20% - Accent5 7 20 2" xfId="35992"/>
    <cellStyle name="20% - Accent5 7 21" xfId="13873"/>
    <cellStyle name="20% - Accent5 7 21 2" xfId="36648"/>
    <cellStyle name="20% - Accent5 7 22" xfId="14529"/>
    <cellStyle name="20% - Accent5 7 22 2" xfId="37304"/>
    <cellStyle name="20% - Accent5 7 23" xfId="15185"/>
    <cellStyle name="20% - Accent5 7 23 2" xfId="37960"/>
    <cellStyle name="20% - Accent5 7 24" xfId="15841"/>
    <cellStyle name="20% - Accent5 7 24 2" xfId="38616"/>
    <cellStyle name="20% - Accent5 7 25" xfId="16497"/>
    <cellStyle name="20% - Accent5 7 25 2" xfId="39272"/>
    <cellStyle name="20% - Accent5 7 26" xfId="17153"/>
    <cellStyle name="20% - Accent5 7 26 2" xfId="39928"/>
    <cellStyle name="20% - Accent5 7 27" xfId="17809"/>
    <cellStyle name="20% - Accent5 7 27 2" xfId="40584"/>
    <cellStyle name="20% - Accent5 7 28" xfId="18465"/>
    <cellStyle name="20% - Accent5 7 28 2" xfId="41240"/>
    <cellStyle name="20% - Accent5 7 29" xfId="19121"/>
    <cellStyle name="20% - Accent5 7 29 2" xfId="41896"/>
    <cellStyle name="20% - Accent5 7 3" xfId="1081"/>
    <cellStyle name="20% - Accent5 7 3 2" xfId="2721"/>
    <cellStyle name="20% - Accent5 7 3 2 2" xfId="25496"/>
    <cellStyle name="20% - Accent5 7 3 3" xfId="23856"/>
    <cellStyle name="20% - Accent5 7 30" xfId="19777"/>
    <cellStyle name="20% - Accent5 7 30 2" xfId="42552"/>
    <cellStyle name="20% - Accent5 7 31" xfId="20433"/>
    <cellStyle name="20% - Accent5 7 31 2" xfId="43208"/>
    <cellStyle name="20% - Accent5 7 32" xfId="21089"/>
    <cellStyle name="20% - Accent5 7 32 2" xfId="43864"/>
    <cellStyle name="20% - Accent5 7 33" xfId="21745"/>
    <cellStyle name="20% - Accent5 7 33 2" xfId="44520"/>
    <cellStyle name="20% - Accent5 7 34" xfId="22401"/>
    <cellStyle name="20% - Accent5 7 34 2" xfId="45176"/>
    <cellStyle name="20% - Accent5 7 35" xfId="23200"/>
    <cellStyle name="20% - Accent5 7 4" xfId="1737"/>
    <cellStyle name="20% - Accent5 7 4 2" xfId="3377"/>
    <cellStyle name="20% - Accent5 7 4 2 2" xfId="26152"/>
    <cellStyle name="20% - Accent5 7 4 3" xfId="24512"/>
    <cellStyle name="20% - Accent5 7 5" xfId="4033"/>
    <cellStyle name="20% - Accent5 7 5 2" xfId="26808"/>
    <cellStyle name="20% - Accent5 7 6" xfId="4689"/>
    <cellStyle name="20% - Accent5 7 6 2" xfId="27464"/>
    <cellStyle name="20% - Accent5 7 7" xfId="5345"/>
    <cellStyle name="20% - Accent5 7 7 2" xfId="28120"/>
    <cellStyle name="20% - Accent5 7 8" xfId="6001"/>
    <cellStyle name="20% - Accent5 7 8 2" xfId="28776"/>
    <cellStyle name="20% - Accent5 7 9" xfId="2393"/>
    <cellStyle name="20% - Accent5 7 9 2" xfId="25168"/>
    <cellStyle name="20% - Accent5 8" xfId="440"/>
    <cellStyle name="20% - Accent5 8 10" xfId="6671"/>
    <cellStyle name="20% - Accent5 8 10 2" xfId="29446"/>
    <cellStyle name="20% - Accent5 8 11" xfId="7327"/>
    <cellStyle name="20% - Accent5 8 11 2" xfId="30102"/>
    <cellStyle name="20% - Accent5 8 12" xfId="7983"/>
    <cellStyle name="20% - Accent5 8 12 2" xfId="30758"/>
    <cellStyle name="20% - Accent5 8 13" xfId="8639"/>
    <cellStyle name="20% - Accent5 8 13 2" xfId="31414"/>
    <cellStyle name="20% - Accent5 8 14" xfId="9295"/>
    <cellStyle name="20% - Accent5 8 14 2" xfId="32070"/>
    <cellStyle name="20% - Accent5 8 15" xfId="9951"/>
    <cellStyle name="20% - Accent5 8 15 2" xfId="32726"/>
    <cellStyle name="20% - Accent5 8 16" xfId="10607"/>
    <cellStyle name="20% - Accent5 8 16 2" xfId="33382"/>
    <cellStyle name="20% - Accent5 8 17" xfId="11263"/>
    <cellStyle name="20% - Accent5 8 17 2" xfId="34038"/>
    <cellStyle name="20% - Accent5 8 18" xfId="11919"/>
    <cellStyle name="20% - Accent5 8 18 2" xfId="34694"/>
    <cellStyle name="20% - Accent5 8 19" xfId="12575"/>
    <cellStyle name="20% - Accent5 8 19 2" xfId="35350"/>
    <cellStyle name="20% - Accent5 8 2" xfId="767"/>
    <cellStyle name="20% - Accent5 8 2 10" xfId="8311"/>
    <cellStyle name="20% - Accent5 8 2 10 2" xfId="31086"/>
    <cellStyle name="20% - Accent5 8 2 11" xfId="8967"/>
    <cellStyle name="20% - Accent5 8 2 11 2" xfId="31742"/>
    <cellStyle name="20% - Accent5 8 2 12" xfId="9623"/>
    <cellStyle name="20% - Accent5 8 2 12 2" xfId="32398"/>
    <cellStyle name="20% - Accent5 8 2 13" xfId="10279"/>
    <cellStyle name="20% - Accent5 8 2 13 2" xfId="33054"/>
    <cellStyle name="20% - Accent5 8 2 14" xfId="10935"/>
    <cellStyle name="20% - Accent5 8 2 14 2" xfId="33710"/>
    <cellStyle name="20% - Accent5 8 2 15" xfId="11591"/>
    <cellStyle name="20% - Accent5 8 2 15 2" xfId="34366"/>
    <cellStyle name="20% - Accent5 8 2 16" xfId="12247"/>
    <cellStyle name="20% - Accent5 8 2 16 2" xfId="35022"/>
    <cellStyle name="20% - Accent5 8 2 17" xfId="12903"/>
    <cellStyle name="20% - Accent5 8 2 17 2" xfId="35678"/>
    <cellStyle name="20% - Accent5 8 2 18" xfId="13559"/>
    <cellStyle name="20% - Accent5 8 2 18 2" xfId="36334"/>
    <cellStyle name="20% - Accent5 8 2 19" xfId="14215"/>
    <cellStyle name="20% - Accent5 8 2 19 2" xfId="36990"/>
    <cellStyle name="20% - Accent5 8 2 2" xfId="1423"/>
    <cellStyle name="20% - Accent5 8 2 2 2" xfId="3719"/>
    <cellStyle name="20% - Accent5 8 2 2 2 2" xfId="26494"/>
    <cellStyle name="20% - Accent5 8 2 2 3" xfId="24198"/>
    <cellStyle name="20% - Accent5 8 2 20" xfId="14871"/>
    <cellStyle name="20% - Accent5 8 2 20 2" xfId="37646"/>
    <cellStyle name="20% - Accent5 8 2 21" xfId="15527"/>
    <cellStyle name="20% - Accent5 8 2 21 2" xfId="38302"/>
    <cellStyle name="20% - Accent5 8 2 22" xfId="16183"/>
    <cellStyle name="20% - Accent5 8 2 22 2" xfId="38958"/>
    <cellStyle name="20% - Accent5 8 2 23" xfId="16839"/>
    <cellStyle name="20% - Accent5 8 2 23 2" xfId="39614"/>
    <cellStyle name="20% - Accent5 8 2 24" xfId="17495"/>
    <cellStyle name="20% - Accent5 8 2 24 2" xfId="40270"/>
    <cellStyle name="20% - Accent5 8 2 25" xfId="18151"/>
    <cellStyle name="20% - Accent5 8 2 25 2" xfId="40926"/>
    <cellStyle name="20% - Accent5 8 2 26" xfId="18807"/>
    <cellStyle name="20% - Accent5 8 2 26 2" xfId="41582"/>
    <cellStyle name="20% - Accent5 8 2 27" xfId="19463"/>
    <cellStyle name="20% - Accent5 8 2 27 2" xfId="42238"/>
    <cellStyle name="20% - Accent5 8 2 28" xfId="20119"/>
    <cellStyle name="20% - Accent5 8 2 28 2" xfId="42894"/>
    <cellStyle name="20% - Accent5 8 2 29" xfId="20775"/>
    <cellStyle name="20% - Accent5 8 2 29 2" xfId="43550"/>
    <cellStyle name="20% - Accent5 8 2 3" xfId="2079"/>
    <cellStyle name="20% - Accent5 8 2 3 2" xfId="4375"/>
    <cellStyle name="20% - Accent5 8 2 3 2 2" xfId="27150"/>
    <cellStyle name="20% - Accent5 8 2 3 3" xfId="24854"/>
    <cellStyle name="20% - Accent5 8 2 30" xfId="21431"/>
    <cellStyle name="20% - Accent5 8 2 30 2" xfId="44206"/>
    <cellStyle name="20% - Accent5 8 2 31" xfId="22087"/>
    <cellStyle name="20% - Accent5 8 2 31 2" xfId="44862"/>
    <cellStyle name="20% - Accent5 8 2 32" xfId="22743"/>
    <cellStyle name="20% - Accent5 8 2 32 2" xfId="45518"/>
    <cellStyle name="20% - Accent5 8 2 33" xfId="23542"/>
    <cellStyle name="20% - Accent5 8 2 4" xfId="5031"/>
    <cellStyle name="20% - Accent5 8 2 4 2" xfId="27806"/>
    <cellStyle name="20% - Accent5 8 2 5" xfId="5687"/>
    <cellStyle name="20% - Accent5 8 2 5 2" xfId="28462"/>
    <cellStyle name="20% - Accent5 8 2 6" xfId="6343"/>
    <cellStyle name="20% - Accent5 8 2 6 2" xfId="29118"/>
    <cellStyle name="20% - Accent5 8 2 7" xfId="3063"/>
    <cellStyle name="20% - Accent5 8 2 7 2" xfId="25838"/>
    <cellStyle name="20% - Accent5 8 2 8" xfId="6999"/>
    <cellStyle name="20% - Accent5 8 2 8 2" xfId="29774"/>
    <cellStyle name="20% - Accent5 8 2 9" xfId="7655"/>
    <cellStyle name="20% - Accent5 8 2 9 2" xfId="30430"/>
    <cellStyle name="20% - Accent5 8 20" xfId="13231"/>
    <cellStyle name="20% - Accent5 8 20 2" xfId="36006"/>
    <cellStyle name="20% - Accent5 8 21" xfId="13887"/>
    <cellStyle name="20% - Accent5 8 21 2" xfId="36662"/>
    <cellStyle name="20% - Accent5 8 22" xfId="14543"/>
    <cellStyle name="20% - Accent5 8 22 2" xfId="37318"/>
    <cellStyle name="20% - Accent5 8 23" xfId="15199"/>
    <cellStyle name="20% - Accent5 8 23 2" xfId="37974"/>
    <cellStyle name="20% - Accent5 8 24" xfId="15855"/>
    <cellStyle name="20% - Accent5 8 24 2" xfId="38630"/>
    <cellStyle name="20% - Accent5 8 25" xfId="16511"/>
    <cellStyle name="20% - Accent5 8 25 2" xfId="39286"/>
    <cellStyle name="20% - Accent5 8 26" xfId="17167"/>
    <cellStyle name="20% - Accent5 8 26 2" xfId="39942"/>
    <cellStyle name="20% - Accent5 8 27" xfId="17823"/>
    <cellStyle name="20% - Accent5 8 27 2" xfId="40598"/>
    <cellStyle name="20% - Accent5 8 28" xfId="18479"/>
    <cellStyle name="20% - Accent5 8 28 2" xfId="41254"/>
    <cellStyle name="20% - Accent5 8 29" xfId="19135"/>
    <cellStyle name="20% - Accent5 8 29 2" xfId="41910"/>
    <cellStyle name="20% - Accent5 8 3" xfId="1095"/>
    <cellStyle name="20% - Accent5 8 3 2" xfId="2735"/>
    <cellStyle name="20% - Accent5 8 3 2 2" xfId="25510"/>
    <cellStyle name="20% - Accent5 8 3 3" xfId="23870"/>
    <cellStyle name="20% - Accent5 8 30" xfId="19791"/>
    <cellStyle name="20% - Accent5 8 30 2" xfId="42566"/>
    <cellStyle name="20% - Accent5 8 31" xfId="20447"/>
    <cellStyle name="20% - Accent5 8 31 2" xfId="43222"/>
    <cellStyle name="20% - Accent5 8 32" xfId="21103"/>
    <cellStyle name="20% - Accent5 8 32 2" xfId="43878"/>
    <cellStyle name="20% - Accent5 8 33" xfId="21759"/>
    <cellStyle name="20% - Accent5 8 33 2" xfId="44534"/>
    <cellStyle name="20% - Accent5 8 34" xfId="22415"/>
    <cellStyle name="20% - Accent5 8 34 2" xfId="45190"/>
    <cellStyle name="20% - Accent5 8 35" xfId="23214"/>
    <cellStyle name="20% - Accent5 8 4" xfId="1751"/>
    <cellStyle name="20% - Accent5 8 4 2" xfId="3391"/>
    <cellStyle name="20% - Accent5 8 4 2 2" xfId="26166"/>
    <cellStyle name="20% - Accent5 8 4 3" xfId="24526"/>
    <cellStyle name="20% - Accent5 8 5" xfId="4047"/>
    <cellStyle name="20% - Accent5 8 5 2" xfId="26822"/>
    <cellStyle name="20% - Accent5 8 6" xfId="4703"/>
    <cellStyle name="20% - Accent5 8 6 2" xfId="27478"/>
    <cellStyle name="20% - Accent5 8 7" xfId="5359"/>
    <cellStyle name="20% - Accent5 8 7 2" xfId="28134"/>
    <cellStyle name="20% - Accent5 8 8" xfId="6015"/>
    <cellStyle name="20% - Accent5 8 8 2" xfId="28790"/>
    <cellStyle name="20% - Accent5 8 9" xfId="2407"/>
    <cellStyle name="20% - Accent5 8 9 2" xfId="25182"/>
    <cellStyle name="20% - Accent5 9" xfId="454"/>
    <cellStyle name="20% - Accent5 9 10" xfId="6685"/>
    <cellStyle name="20% - Accent5 9 10 2" xfId="29460"/>
    <cellStyle name="20% - Accent5 9 11" xfId="7341"/>
    <cellStyle name="20% - Accent5 9 11 2" xfId="30116"/>
    <cellStyle name="20% - Accent5 9 12" xfId="7997"/>
    <cellStyle name="20% - Accent5 9 12 2" xfId="30772"/>
    <cellStyle name="20% - Accent5 9 13" xfId="8653"/>
    <cellStyle name="20% - Accent5 9 13 2" xfId="31428"/>
    <cellStyle name="20% - Accent5 9 14" xfId="9309"/>
    <cellStyle name="20% - Accent5 9 14 2" xfId="32084"/>
    <cellStyle name="20% - Accent5 9 15" xfId="9965"/>
    <cellStyle name="20% - Accent5 9 15 2" xfId="32740"/>
    <cellStyle name="20% - Accent5 9 16" xfId="10621"/>
    <cellStyle name="20% - Accent5 9 16 2" xfId="33396"/>
    <cellStyle name="20% - Accent5 9 17" xfId="11277"/>
    <cellStyle name="20% - Accent5 9 17 2" xfId="34052"/>
    <cellStyle name="20% - Accent5 9 18" xfId="11933"/>
    <cellStyle name="20% - Accent5 9 18 2" xfId="34708"/>
    <cellStyle name="20% - Accent5 9 19" xfId="12589"/>
    <cellStyle name="20% - Accent5 9 19 2" xfId="35364"/>
    <cellStyle name="20% - Accent5 9 2" xfId="781"/>
    <cellStyle name="20% - Accent5 9 2 10" xfId="8325"/>
    <cellStyle name="20% - Accent5 9 2 10 2" xfId="31100"/>
    <cellStyle name="20% - Accent5 9 2 11" xfId="8981"/>
    <cellStyle name="20% - Accent5 9 2 11 2" xfId="31756"/>
    <cellStyle name="20% - Accent5 9 2 12" xfId="9637"/>
    <cellStyle name="20% - Accent5 9 2 12 2" xfId="32412"/>
    <cellStyle name="20% - Accent5 9 2 13" xfId="10293"/>
    <cellStyle name="20% - Accent5 9 2 13 2" xfId="33068"/>
    <cellStyle name="20% - Accent5 9 2 14" xfId="10949"/>
    <cellStyle name="20% - Accent5 9 2 14 2" xfId="33724"/>
    <cellStyle name="20% - Accent5 9 2 15" xfId="11605"/>
    <cellStyle name="20% - Accent5 9 2 15 2" xfId="34380"/>
    <cellStyle name="20% - Accent5 9 2 16" xfId="12261"/>
    <cellStyle name="20% - Accent5 9 2 16 2" xfId="35036"/>
    <cellStyle name="20% - Accent5 9 2 17" xfId="12917"/>
    <cellStyle name="20% - Accent5 9 2 17 2" xfId="35692"/>
    <cellStyle name="20% - Accent5 9 2 18" xfId="13573"/>
    <cellStyle name="20% - Accent5 9 2 18 2" xfId="36348"/>
    <cellStyle name="20% - Accent5 9 2 19" xfId="14229"/>
    <cellStyle name="20% - Accent5 9 2 19 2" xfId="37004"/>
    <cellStyle name="20% - Accent5 9 2 2" xfId="1437"/>
    <cellStyle name="20% - Accent5 9 2 2 2" xfId="3733"/>
    <cellStyle name="20% - Accent5 9 2 2 2 2" xfId="26508"/>
    <cellStyle name="20% - Accent5 9 2 2 3" xfId="24212"/>
    <cellStyle name="20% - Accent5 9 2 20" xfId="14885"/>
    <cellStyle name="20% - Accent5 9 2 20 2" xfId="37660"/>
    <cellStyle name="20% - Accent5 9 2 21" xfId="15541"/>
    <cellStyle name="20% - Accent5 9 2 21 2" xfId="38316"/>
    <cellStyle name="20% - Accent5 9 2 22" xfId="16197"/>
    <cellStyle name="20% - Accent5 9 2 22 2" xfId="38972"/>
    <cellStyle name="20% - Accent5 9 2 23" xfId="16853"/>
    <cellStyle name="20% - Accent5 9 2 23 2" xfId="39628"/>
    <cellStyle name="20% - Accent5 9 2 24" xfId="17509"/>
    <cellStyle name="20% - Accent5 9 2 24 2" xfId="40284"/>
    <cellStyle name="20% - Accent5 9 2 25" xfId="18165"/>
    <cellStyle name="20% - Accent5 9 2 25 2" xfId="40940"/>
    <cellStyle name="20% - Accent5 9 2 26" xfId="18821"/>
    <cellStyle name="20% - Accent5 9 2 26 2" xfId="41596"/>
    <cellStyle name="20% - Accent5 9 2 27" xfId="19477"/>
    <cellStyle name="20% - Accent5 9 2 27 2" xfId="42252"/>
    <cellStyle name="20% - Accent5 9 2 28" xfId="20133"/>
    <cellStyle name="20% - Accent5 9 2 28 2" xfId="42908"/>
    <cellStyle name="20% - Accent5 9 2 29" xfId="20789"/>
    <cellStyle name="20% - Accent5 9 2 29 2" xfId="43564"/>
    <cellStyle name="20% - Accent5 9 2 3" xfId="2093"/>
    <cellStyle name="20% - Accent5 9 2 3 2" xfId="4389"/>
    <cellStyle name="20% - Accent5 9 2 3 2 2" xfId="27164"/>
    <cellStyle name="20% - Accent5 9 2 3 3" xfId="24868"/>
    <cellStyle name="20% - Accent5 9 2 30" xfId="21445"/>
    <cellStyle name="20% - Accent5 9 2 30 2" xfId="44220"/>
    <cellStyle name="20% - Accent5 9 2 31" xfId="22101"/>
    <cellStyle name="20% - Accent5 9 2 31 2" xfId="44876"/>
    <cellStyle name="20% - Accent5 9 2 32" xfId="22757"/>
    <cellStyle name="20% - Accent5 9 2 32 2" xfId="45532"/>
    <cellStyle name="20% - Accent5 9 2 33" xfId="23556"/>
    <cellStyle name="20% - Accent5 9 2 4" xfId="5045"/>
    <cellStyle name="20% - Accent5 9 2 4 2" xfId="27820"/>
    <cellStyle name="20% - Accent5 9 2 5" xfId="5701"/>
    <cellStyle name="20% - Accent5 9 2 5 2" xfId="28476"/>
    <cellStyle name="20% - Accent5 9 2 6" xfId="6357"/>
    <cellStyle name="20% - Accent5 9 2 6 2" xfId="29132"/>
    <cellStyle name="20% - Accent5 9 2 7" xfId="3077"/>
    <cellStyle name="20% - Accent5 9 2 7 2" xfId="25852"/>
    <cellStyle name="20% - Accent5 9 2 8" xfId="7013"/>
    <cellStyle name="20% - Accent5 9 2 8 2" xfId="29788"/>
    <cellStyle name="20% - Accent5 9 2 9" xfId="7669"/>
    <cellStyle name="20% - Accent5 9 2 9 2" xfId="30444"/>
    <cellStyle name="20% - Accent5 9 20" xfId="13245"/>
    <cellStyle name="20% - Accent5 9 20 2" xfId="36020"/>
    <cellStyle name="20% - Accent5 9 21" xfId="13901"/>
    <cellStyle name="20% - Accent5 9 21 2" xfId="36676"/>
    <cellStyle name="20% - Accent5 9 22" xfId="14557"/>
    <cellStyle name="20% - Accent5 9 22 2" xfId="37332"/>
    <cellStyle name="20% - Accent5 9 23" xfId="15213"/>
    <cellStyle name="20% - Accent5 9 23 2" xfId="37988"/>
    <cellStyle name="20% - Accent5 9 24" xfId="15869"/>
    <cellStyle name="20% - Accent5 9 24 2" xfId="38644"/>
    <cellStyle name="20% - Accent5 9 25" xfId="16525"/>
    <cellStyle name="20% - Accent5 9 25 2" xfId="39300"/>
    <cellStyle name="20% - Accent5 9 26" xfId="17181"/>
    <cellStyle name="20% - Accent5 9 26 2" xfId="39956"/>
    <cellStyle name="20% - Accent5 9 27" xfId="17837"/>
    <cellStyle name="20% - Accent5 9 27 2" xfId="40612"/>
    <cellStyle name="20% - Accent5 9 28" xfId="18493"/>
    <cellStyle name="20% - Accent5 9 28 2" xfId="41268"/>
    <cellStyle name="20% - Accent5 9 29" xfId="19149"/>
    <cellStyle name="20% - Accent5 9 29 2" xfId="41924"/>
    <cellStyle name="20% - Accent5 9 3" xfId="1109"/>
    <cellStyle name="20% - Accent5 9 3 2" xfId="2749"/>
    <cellStyle name="20% - Accent5 9 3 2 2" xfId="25524"/>
    <cellStyle name="20% - Accent5 9 3 3" xfId="23884"/>
    <cellStyle name="20% - Accent5 9 30" xfId="19805"/>
    <cellStyle name="20% - Accent5 9 30 2" xfId="42580"/>
    <cellStyle name="20% - Accent5 9 31" xfId="20461"/>
    <cellStyle name="20% - Accent5 9 31 2" xfId="43236"/>
    <cellStyle name="20% - Accent5 9 32" xfId="21117"/>
    <cellStyle name="20% - Accent5 9 32 2" xfId="43892"/>
    <cellStyle name="20% - Accent5 9 33" xfId="21773"/>
    <cellStyle name="20% - Accent5 9 33 2" xfId="44548"/>
    <cellStyle name="20% - Accent5 9 34" xfId="22429"/>
    <cellStyle name="20% - Accent5 9 34 2" xfId="45204"/>
    <cellStyle name="20% - Accent5 9 35" xfId="23228"/>
    <cellStyle name="20% - Accent5 9 4" xfId="1765"/>
    <cellStyle name="20% - Accent5 9 4 2" xfId="3405"/>
    <cellStyle name="20% - Accent5 9 4 2 2" xfId="26180"/>
    <cellStyle name="20% - Accent5 9 4 3" xfId="24540"/>
    <cellStyle name="20% - Accent5 9 5" xfId="4061"/>
    <cellStyle name="20% - Accent5 9 5 2" xfId="26836"/>
    <cellStyle name="20% - Accent5 9 6" xfId="4717"/>
    <cellStyle name="20% - Accent5 9 6 2" xfId="27492"/>
    <cellStyle name="20% - Accent5 9 7" xfId="5373"/>
    <cellStyle name="20% - Accent5 9 7 2" xfId="28148"/>
    <cellStyle name="20% - Accent5 9 8" xfId="6029"/>
    <cellStyle name="20% - Accent5 9 8 2" xfId="28804"/>
    <cellStyle name="20% - Accent5 9 9" xfId="2421"/>
    <cellStyle name="20% - Accent5 9 9 2" xfId="25196"/>
    <cellStyle name="20% - Accent6" xfId="41" builtinId="50" customBuiltin="1"/>
    <cellStyle name="20% - Accent6 10" xfId="468"/>
    <cellStyle name="20% - Accent6 10 10" xfId="6699"/>
    <cellStyle name="20% - Accent6 10 10 2" xfId="29474"/>
    <cellStyle name="20% - Accent6 10 11" xfId="7355"/>
    <cellStyle name="20% - Accent6 10 11 2" xfId="30130"/>
    <cellStyle name="20% - Accent6 10 12" xfId="8011"/>
    <cellStyle name="20% - Accent6 10 12 2" xfId="30786"/>
    <cellStyle name="20% - Accent6 10 13" xfId="8667"/>
    <cellStyle name="20% - Accent6 10 13 2" xfId="31442"/>
    <cellStyle name="20% - Accent6 10 14" xfId="9323"/>
    <cellStyle name="20% - Accent6 10 14 2" xfId="32098"/>
    <cellStyle name="20% - Accent6 10 15" xfId="9979"/>
    <cellStyle name="20% - Accent6 10 15 2" xfId="32754"/>
    <cellStyle name="20% - Accent6 10 16" xfId="10635"/>
    <cellStyle name="20% - Accent6 10 16 2" xfId="33410"/>
    <cellStyle name="20% - Accent6 10 17" xfId="11291"/>
    <cellStyle name="20% - Accent6 10 17 2" xfId="34066"/>
    <cellStyle name="20% - Accent6 10 18" xfId="11947"/>
    <cellStyle name="20% - Accent6 10 18 2" xfId="34722"/>
    <cellStyle name="20% - Accent6 10 19" xfId="12603"/>
    <cellStyle name="20% - Accent6 10 19 2" xfId="35378"/>
    <cellStyle name="20% - Accent6 10 2" xfId="795"/>
    <cellStyle name="20% - Accent6 10 2 10" xfId="8339"/>
    <cellStyle name="20% - Accent6 10 2 10 2" xfId="31114"/>
    <cellStyle name="20% - Accent6 10 2 11" xfId="8995"/>
    <cellStyle name="20% - Accent6 10 2 11 2" xfId="31770"/>
    <cellStyle name="20% - Accent6 10 2 12" xfId="9651"/>
    <cellStyle name="20% - Accent6 10 2 12 2" xfId="32426"/>
    <cellStyle name="20% - Accent6 10 2 13" xfId="10307"/>
    <cellStyle name="20% - Accent6 10 2 13 2" xfId="33082"/>
    <cellStyle name="20% - Accent6 10 2 14" xfId="10963"/>
    <cellStyle name="20% - Accent6 10 2 14 2" xfId="33738"/>
    <cellStyle name="20% - Accent6 10 2 15" xfId="11619"/>
    <cellStyle name="20% - Accent6 10 2 15 2" xfId="34394"/>
    <cellStyle name="20% - Accent6 10 2 16" xfId="12275"/>
    <cellStyle name="20% - Accent6 10 2 16 2" xfId="35050"/>
    <cellStyle name="20% - Accent6 10 2 17" xfId="12931"/>
    <cellStyle name="20% - Accent6 10 2 17 2" xfId="35706"/>
    <cellStyle name="20% - Accent6 10 2 18" xfId="13587"/>
    <cellStyle name="20% - Accent6 10 2 18 2" xfId="36362"/>
    <cellStyle name="20% - Accent6 10 2 19" xfId="14243"/>
    <cellStyle name="20% - Accent6 10 2 19 2" xfId="37018"/>
    <cellStyle name="20% - Accent6 10 2 2" xfId="1451"/>
    <cellStyle name="20% - Accent6 10 2 2 2" xfId="3747"/>
    <cellStyle name="20% - Accent6 10 2 2 2 2" xfId="26522"/>
    <cellStyle name="20% - Accent6 10 2 2 3" xfId="24226"/>
    <cellStyle name="20% - Accent6 10 2 20" xfId="14899"/>
    <cellStyle name="20% - Accent6 10 2 20 2" xfId="37674"/>
    <cellStyle name="20% - Accent6 10 2 21" xfId="15555"/>
    <cellStyle name="20% - Accent6 10 2 21 2" xfId="38330"/>
    <cellStyle name="20% - Accent6 10 2 22" xfId="16211"/>
    <cellStyle name="20% - Accent6 10 2 22 2" xfId="38986"/>
    <cellStyle name="20% - Accent6 10 2 23" xfId="16867"/>
    <cellStyle name="20% - Accent6 10 2 23 2" xfId="39642"/>
    <cellStyle name="20% - Accent6 10 2 24" xfId="17523"/>
    <cellStyle name="20% - Accent6 10 2 24 2" xfId="40298"/>
    <cellStyle name="20% - Accent6 10 2 25" xfId="18179"/>
    <cellStyle name="20% - Accent6 10 2 25 2" xfId="40954"/>
    <cellStyle name="20% - Accent6 10 2 26" xfId="18835"/>
    <cellStyle name="20% - Accent6 10 2 26 2" xfId="41610"/>
    <cellStyle name="20% - Accent6 10 2 27" xfId="19491"/>
    <cellStyle name="20% - Accent6 10 2 27 2" xfId="42266"/>
    <cellStyle name="20% - Accent6 10 2 28" xfId="20147"/>
    <cellStyle name="20% - Accent6 10 2 28 2" xfId="42922"/>
    <cellStyle name="20% - Accent6 10 2 29" xfId="20803"/>
    <cellStyle name="20% - Accent6 10 2 29 2" xfId="43578"/>
    <cellStyle name="20% - Accent6 10 2 3" xfId="2107"/>
    <cellStyle name="20% - Accent6 10 2 3 2" xfId="4403"/>
    <cellStyle name="20% - Accent6 10 2 3 2 2" xfId="27178"/>
    <cellStyle name="20% - Accent6 10 2 3 3" xfId="24882"/>
    <cellStyle name="20% - Accent6 10 2 30" xfId="21459"/>
    <cellStyle name="20% - Accent6 10 2 30 2" xfId="44234"/>
    <cellStyle name="20% - Accent6 10 2 31" xfId="22115"/>
    <cellStyle name="20% - Accent6 10 2 31 2" xfId="44890"/>
    <cellStyle name="20% - Accent6 10 2 32" xfId="22771"/>
    <cellStyle name="20% - Accent6 10 2 32 2" xfId="45546"/>
    <cellStyle name="20% - Accent6 10 2 33" xfId="23570"/>
    <cellStyle name="20% - Accent6 10 2 4" xfId="5059"/>
    <cellStyle name="20% - Accent6 10 2 4 2" xfId="27834"/>
    <cellStyle name="20% - Accent6 10 2 5" xfId="5715"/>
    <cellStyle name="20% - Accent6 10 2 5 2" xfId="28490"/>
    <cellStyle name="20% - Accent6 10 2 6" xfId="6371"/>
    <cellStyle name="20% - Accent6 10 2 6 2" xfId="29146"/>
    <cellStyle name="20% - Accent6 10 2 7" xfId="3091"/>
    <cellStyle name="20% - Accent6 10 2 7 2" xfId="25866"/>
    <cellStyle name="20% - Accent6 10 2 8" xfId="7027"/>
    <cellStyle name="20% - Accent6 10 2 8 2" xfId="29802"/>
    <cellStyle name="20% - Accent6 10 2 9" xfId="7683"/>
    <cellStyle name="20% - Accent6 10 2 9 2" xfId="30458"/>
    <cellStyle name="20% - Accent6 10 20" xfId="13259"/>
    <cellStyle name="20% - Accent6 10 20 2" xfId="36034"/>
    <cellStyle name="20% - Accent6 10 21" xfId="13915"/>
    <cellStyle name="20% - Accent6 10 21 2" xfId="36690"/>
    <cellStyle name="20% - Accent6 10 22" xfId="14571"/>
    <cellStyle name="20% - Accent6 10 22 2" xfId="37346"/>
    <cellStyle name="20% - Accent6 10 23" xfId="15227"/>
    <cellStyle name="20% - Accent6 10 23 2" xfId="38002"/>
    <cellStyle name="20% - Accent6 10 24" xfId="15883"/>
    <cellStyle name="20% - Accent6 10 24 2" xfId="38658"/>
    <cellStyle name="20% - Accent6 10 25" xfId="16539"/>
    <cellStyle name="20% - Accent6 10 25 2" xfId="39314"/>
    <cellStyle name="20% - Accent6 10 26" xfId="17195"/>
    <cellStyle name="20% - Accent6 10 26 2" xfId="39970"/>
    <cellStyle name="20% - Accent6 10 27" xfId="17851"/>
    <cellStyle name="20% - Accent6 10 27 2" xfId="40626"/>
    <cellStyle name="20% - Accent6 10 28" xfId="18507"/>
    <cellStyle name="20% - Accent6 10 28 2" xfId="41282"/>
    <cellStyle name="20% - Accent6 10 29" xfId="19163"/>
    <cellStyle name="20% - Accent6 10 29 2" xfId="41938"/>
    <cellStyle name="20% - Accent6 10 3" xfId="1123"/>
    <cellStyle name="20% - Accent6 10 3 2" xfId="2763"/>
    <cellStyle name="20% - Accent6 10 3 2 2" xfId="25538"/>
    <cellStyle name="20% - Accent6 10 3 3" xfId="23898"/>
    <cellStyle name="20% - Accent6 10 30" xfId="19819"/>
    <cellStyle name="20% - Accent6 10 30 2" xfId="42594"/>
    <cellStyle name="20% - Accent6 10 31" xfId="20475"/>
    <cellStyle name="20% - Accent6 10 31 2" xfId="43250"/>
    <cellStyle name="20% - Accent6 10 32" xfId="21131"/>
    <cellStyle name="20% - Accent6 10 32 2" xfId="43906"/>
    <cellStyle name="20% - Accent6 10 33" xfId="21787"/>
    <cellStyle name="20% - Accent6 10 33 2" xfId="44562"/>
    <cellStyle name="20% - Accent6 10 34" xfId="22443"/>
    <cellStyle name="20% - Accent6 10 34 2" xfId="45218"/>
    <cellStyle name="20% - Accent6 10 35" xfId="23242"/>
    <cellStyle name="20% - Accent6 10 4" xfId="1779"/>
    <cellStyle name="20% - Accent6 10 4 2" xfId="3419"/>
    <cellStyle name="20% - Accent6 10 4 2 2" xfId="26194"/>
    <cellStyle name="20% - Accent6 10 4 3" xfId="24554"/>
    <cellStyle name="20% - Accent6 10 5" xfId="4075"/>
    <cellStyle name="20% - Accent6 10 5 2" xfId="26850"/>
    <cellStyle name="20% - Accent6 10 6" xfId="4731"/>
    <cellStyle name="20% - Accent6 10 6 2" xfId="27506"/>
    <cellStyle name="20% - Accent6 10 7" xfId="5387"/>
    <cellStyle name="20% - Accent6 10 7 2" xfId="28162"/>
    <cellStyle name="20% - Accent6 10 8" xfId="6043"/>
    <cellStyle name="20% - Accent6 10 8 2" xfId="28818"/>
    <cellStyle name="20% - Accent6 10 9" xfId="2435"/>
    <cellStyle name="20% - Accent6 10 9 2" xfId="25210"/>
    <cellStyle name="20% - Accent6 11" xfId="610"/>
    <cellStyle name="20% - Accent6 11 10" xfId="8154"/>
    <cellStyle name="20% - Accent6 11 10 2" xfId="30929"/>
    <cellStyle name="20% - Accent6 11 11" xfId="8810"/>
    <cellStyle name="20% - Accent6 11 11 2" xfId="31585"/>
    <cellStyle name="20% - Accent6 11 12" xfId="9466"/>
    <cellStyle name="20% - Accent6 11 12 2" xfId="32241"/>
    <cellStyle name="20% - Accent6 11 13" xfId="10122"/>
    <cellStyle name="20% - Accent6 11 13 2" xfId="32897"/>
    <cellStyle name="20% - Accent6 11 14" xfId="10778"/>
    <cellStyle name="20% - Accent6 11 14 2" xfId="33553"/>
    <cellStyle name="20% - Accent6 11 15" xfId="11434"/>
    <cellStyle name="20% - Accent6 11 15 2" xfId="34209"/>
    <cellStyle name="20% - Accent6 11 16" xfId="12090"/>
    <cellStyle name="20% - Accent6 11 16 2" xfId="34865"/>
    <cellStyle name="20% - Accent6 11 17" xfId="12746"/>
    <cellStyle name="20% - Accent6 11 17 2" xfId="35521"/>
    <cellStyle name="20% - Accent6 11 18" xfId="13402"/>
    <cellStyle name="20% - Accent6 11 18 2" xfId="36177"/>
    <cellStyle name="20% - Accent6 11 19" xfId="14058"/>
    <cellStyle name="20% - Accent6 11 19 2" xfId="36833"/>
    <cellStyle name="20% - Accent6 11 2" xfId="1266"/>
    <cellStyle name="20% - Accent6 11 2 2" xfId="3562"/>
    <cellStyle name="20% - Accent6 11 2 2 2" xfId="26337"/>
    <cellStyle name="20% - Accent6 11 2 3" xfId="24041"/>
    <cellStyle name="20% - Accent6 11 20" xfId="14714"/>
    <cellStyle name="20% - Accent6 11 20 2" xfId="37489"/>
    <cellStyle name="20% - Accent6 11 21" xfId="15370"/>
    <cellStyle name="20% - Accent6 11 21 2" xfId="38145"/>
    <cellStyle name="20% - Accent6 11 22" xfId="16026"/>
    <cellStyle name="20% - Accent6 11 22 2" xfId="38801"/>
    <cellStyle name="20% - Accent6 11 23" xfId="16682"/>
    <cellStyle name="20% - Accent6 11 23 2" xfId="39457"/>
    <cellStyle name="20% - Accent6 11 24" xfId="17338"/>
    <cellStyle name="20% - Accent6 11 24 2" xfId="40113"/>
    <cellStyle name="20% - Accent6 11 25" xfId="17994"/>
    <cellStyle name="20% - Accent6 11 25 2" xfId="40769"/>
    <cellStyle name="20% - Accent6 11 26" xfId="18650"/>
    <cellStyle name="20% - Accent6 11 26 2" xfId="41425"/>
    <cellStyle name="20% - Accent6 11 27" xfId="19306"/>
    <cellStyle name="20% - Accent6 11 27 2" xfId="42081"/>
    <cellStyle name="20% - Accent6 11 28" xfId="19962"/>
    <cellStyle name="20% - Accent6 11 28 2" xfId="42737"/>
    <cellStyle name="20% - Accent6 11 29" xfId="20618"/>
    <cellStyle name="20% - Accent6 11 29 2" xfId="43393"/>
    <cellStyle name="20% - Accent6 11 3" xfId="1922"/>
    <cellStyle name="20% - Accent6 11 3 2" xfId="4218"/>
    <cellStyle name="20% - Accent6 11 3 2 2" xfId="26993"/>
    <cellStyle name="20% - Accent6 11 3 3" xfId="24697"/>
    <cellStyle name="20% - Accent6 11 30" xfId="21274"/>
    <cellStyle name="20% - Accent6 11 30 2" xfId="44049"/>
    <cellStyle name="20% - Accent6 11 31" xfId="21930"/>
    <cellStyle name="20% - Accent6 11 31 2" xfId="44705"/>
    <cellStyle name="20% - Accent6 11 32" xfId="22586"/>
    <cellStyle name="20% - Accent6 11 32 2" xfId="45361"/>
    <cellStyle name="20% - Accent6 11 33" xfId="23385"/>
    <cellStyle name="20% - Accent6 11 4" xfId="4874"/>
    <cellStyle name="20% - Accent6 11 4 2" xfId="27649"/>
    <cellStyle name="20% - Accent6 11 5" xfId="5530"/>
    <cellStyle name="20% - Accent6 11 5 2" xfId="28305"/>
    <cellStyle name="20% - Accent6 11 6" xfId="6186"/>
    <cellStyle name="20% - Accent6 11 6 2" xfId="28961"/>
    <cellStyle name="20% - Accent6 11 7" xfId="2906"/>
    <cellStyle name="20% - Accent6 11 7 2" xfId="25681"/>
    <cellStyle name="20% - Accent6 11 8" xfId="6842"/>
    <cellStyle name="20% - Accent6 11 8 2" xfId="29617"/>
    <cellStyle name="20% - Accent6 11 9" xfId="7498"/>
    <cellStyle name="20% - Accent6 11 9 2" xfId="30273"/>
    <cellStyle name="20% - Accent6 12" xfId="283"/>
    <cellStyle name="20% - Accent6 12 2" xfId="2578"/>
    <cellStyle name="20% - Accent6 12 2 2" xfId="25353"/>
    <cellStyle name="20% - Accent6 12 3" xfId="23057"/>
    <cellStyle name="20% - Accent6 13" xfId="938"/>
    <cellStyle name="20% - Accent6 13 2" xfId="3234"/>
    <cellStyle name="20% - Accent6 13 2 2" xfId="26009"/>
    <cellStyle name="20% - Accent6 13 3" xfId="23713"/>
    <cellStyle name="20% - Accent6 14" xfId="1594"/>
    <cellStyle name="20% - Accent6 14 2" xfId="3890"/>
    <cellStyle name="20% - Accent6 14 2 2" xfId="26665"/>
    <cellStyle name="20% - Accent6 14 3" xfId="24369"/>
    <cellStyle name="20% - Accent6 15" xfId="4546"/>
    <cellStyle name="20% - Accent6 15 2" xfId="27321"/>
    <cellStyle name="20% - Accent6 16" xfId="5202"/>
    <cellStyle name="20% - Accent6 16 2" xfId="27977"/>
    <cellStyle name="20% - Accent6 17" xfId="5858"/>
    <cellStyle name="20% - Accent6 17 2" xfId="28633"/>
    <cellStyle name="20% - Accent6 18" xfId="2250"/>
    <cellStyle name="20% - Accent6 18 2" xfId="25025"/>
    <cellStyle name="20% - Accent6 19" xfId="6514"/>
    <cellStyle name="20% - Accent6 19 2" xfId="29289"/>
    <cellStyle name="20% - Accent6 2" xfId="78"/>
    <cellStyle name="20% - Accent6 2 10" xfId="5874"/>
    <cellStyle name="20% - Accent6 2 10 2" xfId="28649"/>
    <cellStyle name="20% - Accent6 2 11" xfId="2266"/>
    <cellStyle name="20% - Accent6 2 11 2" xfId="25041"/>
    <cellStyle name="20% - Accent6 2 12" xfId="6530"/>
    <cellStyle name="20% - Accent6 2 12 2" xfId="29305"/>
    <cellStyle name="20% - Accent6 2 13" xfId="7186"/>
    <cellStyle name="20% - Accent6 2 13 2" xfId="29961"/>
    <cellStyle name="20% - Accent6 2 14" xfId="7842"/>
    <cellStyle name="20% - Accent6 2 14 2" xfId="30617"/>
    <cellStyle name="20% - Accent6 2 15" xfId="8498"/>
    <cellStyle name="20% - Accent6 2 15 2" xfId="31273"/>
    <cellStyle name="20% - Accent6 2 16" xfId="9154"/>
    <cellStyle name="20% - Accent6 2 16 2" xfId="31929"/>
    <cellStyle name="20% - Accent6 2 17" xfId="9810"/>
    <cellStyle name="20% - Accent6 2 17 2" xfId="32585"/>
    <cellStyle name="20% - Accent6 2 18" xfId="10466"/>
    <cellStyle name="20% - Accent6 2 18 2" xfId="33241"/>
    <cellStyle name="20% - Accent6 2 19" xfId="11122"/>
    <cellStyle name="20% - Accent6 2 19 2" xfId="33897"/>
    <cellStyle name="20% - Accent6 2 2" xfId="154"/>
    <cellStyle name="20% - Accent6 2 2 10" xfId="2352"/>
    <cellStyle name="20% - Accent6 2 2 10 2" xfId="25127"/>
    <cellStyle name="20% - Accent6 2 2 11" xfId="6616"/>
    <cellStyle name="20% - Accent6 2 2 11 2" xfId="29391"/>
    <cellStyle name="20% - Accent6 2 2 12" xfId="7272"/>
    <cellStyle name="20% - Accent6 2 2 12 2" xfId="30047"/>
    <cellStyle name="20% - Accent6 2 2 13" xfId="7928"/>
    <cellStyle name="20% - Accent6 2 2 13 2" xfId="30703"/>
    <cellStyle name="20% - Accent6 2 2 14" xfId="8584"/>
    <cellStyle name="20% - Accent6 2 2 14 2" xfId="31359"/>
    <cellStyle name="20% - Accent6 2 2 15" xfId="9240"/>
    <cellStyle name="20% - Accent6 2 2 15 2" xfId="32015"/>
    <cellStyle name="20% - Accent6 2 2 16" xfId="9896"/>
    <cellStyle name="20% - Accent6 2 2 16 2" xfId="32671"/>
    <cellStyle name="20% - Accent6 2 2 17" xfId="10552"/>
    <cellStyle name="20% - Accent6 2 2 17 2" xfId="33327"/>
    <cellStyle name="20% - Accent6 2 2 18" xfId="11208"/>
    <cellStyle name="20% - Accent6 2 2 18 2" xfId="33983"/>
    <cellStyle name="20% - Accent6 2 2 19" xfId="11864"/>
    <cellStyle name="20% - Accent6 2 2 19 2" xfId="34639"/>
    <cellStyle name="20% - Accent6 2 2 2" xfId="568"/>
    <cellStyle name="20% - Accent6 2 2 2 10" xfId="6801"/>
    <cellStyle name="20% - Accent6 2 2 2 10 2" xfId="29576"/>
    <cellStyle name="20% - Accent6 2 2 2 11" xfId="7457"/>
    <cellStyle name="20% - Accent6 2 2 2 11 2" xfId="30232"/>
    <cellStyle name="20% - Accent6 2 2 2 12" xfId="8113"/>
    <cellStyle name="20% - Accent6 2 2 2 12 2" xfId="30888"/>
    <cellStyle name="20% - Accent6 2 2 2 13" xfId="8769"/>
    <cellStyle name="20% - Accent6 2 2 2 13 2" xfId="31544"/>
    <cellStyle name="20% - Accent6 2 2 2 14" xfId="9425"/>
    <cellStyle name="20% - Accent6 2 2 2 14 2" xfId="32200"/>
    <cellStyle name="20% - Accent6 2 2 2 15" xfId="10081"/>
    <cellStyle name="20% - Accent6 2 2 2 15 2" xfId="32856"/>
    <cellStyle name="20% - Accent6 2 2 2 16" xfId="10737"/>
    <cellStyle name="20% - Accent6 2 2 2 16 2" xfId="33512"/>
    <cellStyle name="20% - Accent6 2 2 2 17" xfId="11393"/>
    <cellStyle name="20% - Accent6 2 2 2 17 2" xfId="34168"/>
    <cellStyle name="20% - Accent6 2 2 2 18" xfId="12049"/>
    <cellStyle name="20% - Accent6 2 2 2 18 2" xfId="34824"/>
    <cellStyle name="20% - Accent6 2 2 2 19" xfId="12705"/>
    <cellStyle name="20% - Accent6 2 2 2 19 2" xfId="35480"/>
    <cellStyle name="20% - Accent6 2 2 2 2" xfId="897"/>
    <cellStyle name="20% - Accent6 2 2 2 2 10" xfId="8441"/>
    <cellStyle name="20% - Accent6 2 2 2 2 10 2" xfId="31216"/>
    <cellStyle name="20% - Accent6 2 2 2 2 11" xfId="9097"/>
    <cellStyle name="20% - Accent6 2 2 2 2 11 2" xfId="31872"/>
    <cellStyle name="20% - Accent6 2 2 2 2 12" xfId="9753"/>
    <cellStyle name="20% - Accent6 2 2 2 2 12 2" xfId="32528"/>
    <cellStyle name="20% - Accent6 2 2 2 2 13" xfId="10409"/>
    <cellStyle name="20% - Accent6 2 2 2 2 13 2" xfId="33184"/>
    <cellStyle name="20% - Accent6 2 2 2 2 14" xfId="11065"/>
    <cellStyle name="20% - Accent6 2 2 2 2 14 2" xfId="33840"/>
    <cellStyle name="20% - Accent6 2 2 2 2 15" xfId="11721"/>
    <cellStyle name="20% - Accent6 2 2 2 2 15 2" xfId="34496"/>
    <cellStyle name="20% - Accent6 2 2 2 2 16" xfId="12377"/>
    <cellStyle name="20% - Accent6 2 2 2 2 16 2" xfId="35152"/>
    <cellStyle name="20% - Accent6 2 2 2 2 17" xfId="13033"/>
    <cellStyle name="20% - Accent6 2 2 2 2 17 2" xfId="35808"/>
    <cellStyle name="20% - Accent6 2 2 2 2 18" xfId="13689"/>
    <cellStyle name="20% - Accent6 2 2 2 2 18 2" xfId="36464"/>
    <cellStyle name="20% - Accent6 2 2 2 2 19" xfId="14345"/>
    <cellStyle name="20% - Accent6 2 2 2 2 19 2" xfId="37120"/>
    <cellStyle name="20% - Accent6 2 2 2 2 2" xfId="1553"/>
    <cellStyle name="20% - Accent6 2 2 2 2 2 2" xfId="3849"/>
    <cellStyle name="20% - Accent6 2 2 2 2 2 2 2" xfId="26624"/>
    <cellStyle name="20% - Accent6 2 2 2 2 2 3" xfId="24328"/>
    <cellStyle name="20% - Accent6 2 2 2 2 20" xfId="15001"/>
    <cellStyle name="20% - Accent6 2 2 2 2 20 2" xfId="37776"/>
    <cellStyle name="20% - Accent6 2 2 2 2 21" xfId="15657"/>
    <cellStyle name="20% - Accent6 2 2 2 2 21 2" xfId="38432"/>
    <cellStyle name="20% - Accent6 2 2 2 2 22" xfId="16313"/>
    <cellStyle name="20% - Accent6 2 2 2 2 22 2" xfId="39088"/>
    <cellStyle name="20% - Accent6 2 2 2 2 23" xfId="16969"/>
    <cellStyle name="20% - Accent6 2 2 2 2 23 2" xfId="39744"/>
    <cellStyle name="20% - Accent6 2 2 2 2 24" xfId="17625"/>
    <cellStyle name="20% - Accent6 2 2 2 2 24 2" xfId="40400"/>
    <cellStyle name="20% - Accent6 2 2 2 2 25" xfId="18281"/>
    <cellStyle name="20% - Accent6 2 2 2 2 25 2" xfId="41056"/>
    <cellStyle name="20% - Accent6 2 2 2 2 26" xfId="18937"/>
    <cellStyle name="20% - Accent6 2 2 2 2 26 2" xfId="41712"/>
    <cellStyle name="20% - Accent6 2 2 2 2 27" xfId="19593"/>
    <cellStyle name="20% - Accent6 2 2 2 2 27 2" xfId="42368"/>
    <cellStyle name="20% - Accent6 2 2 2 2 28" xfId="20249"/>
    <cellStyle name="20% - Accent6 2 2 2 2 28 2" xfId="43024"/>
    <cellStyle name="20% - Accent6 2 2 2 2 29" xfId="20905"/>
    <cellStyle name="20% - Accent6 2 2 2 2 29 2" xfId="43680"/>
    <cellStyle name="20% - Accent6 2 2 2 2 3" xfId="2209"/>
    <cellStyle name="20% - Accent6 2 2 2 2 3 2" xfId="4505"/>
    <cellStyle name="20% - Accent6 2 2 2 2 3 2 2" xfId="27280"/>
    <cellStyle name="20% - Accent6 2 2 2 2 3 3" xfId="24984"/>
    <cellStyle name="20% - Accent6 2 2 2 2 30" xfId="21561"/>
    <cellStyle name="20% - Accent6 2 2 2 2 30 2" xfId="44336"/>
    <cellStyle name="20% - Accent6 2 2 2 2 31" xfId="22217"/>
    <cellStyle name="20% - Accent6 2 2 2 2 31 2" xfId="44992"/>
    <cellStyle name="20% - Accent6 2 2 2 2 32" xfId="22873"/>
    <cellStyle name="20% - Accent6 2 2 2 2 32 2" xfId="45648"/>
    <cellStyle name="20% - Accent6 2 2 2 2 33" xfId="23672"/>
    <cellStyle name="20% - Accent6 2 2 2 2 4" xfId="5161"/>
    <cellStyle name="20% - Accent6 2 2 2 2 4 2" xfId="27936"/>
    <cellStyle name="20% - Accent6 2 2 2 2 5" xfId="5817"/>
    <cellStyle name="20% - Accent6 2 2 2 2 5 2" xfId="28592"/>
    <cellStyle name="20% - Accent6 2 2 2 2 6" xfId="6473"/>
    <cellStyle name="20% - Accent6 2 2 2 2 6 2" xfId="29248"/>
    <cellStyle name="20% - Accent6 2 2 2 2 7" xfId="3193"/>
    <cellStyle name="20% - Accent6 2 2 2 2 7 2" xfId="25968"/>
    <cellStyle name="20% - Accent6 2 2 2 2 8" xfId="7129"/>
    <cellStyle name="20% - Accent6 2 2 2 2 8 2" xfId="29904"/>
    <cellStyle name="20% - Accent6 2 2 2 2 9" xfId="7785"/>
    <cellStyle name="20% - Accent6 2 2 2 2 9 2" xfId="30560"/>
    <cellStyle name="20% - Accent6 2 2 2 20" xfId="13361"/>
    <cellStyle name="20% - Accent6 2 2 2 20 2" xfId="36136"/>
    <cellStyle name="20% - Accent6 2 2 2 21" xfId="14017"/>
    <cellStyle name="20% - Accent6 2 2 2 21 2" xfId="36792"/>
    <cellStyle name="20% - Accent6 2 2 2 22" xfId="14673"/>
    <cellStyle name="20% - Accent6 2 2 2 22 2" xfId="37448"/>
    <cellStyle name="20% - Accent6 2 2 2 23" xfId="15329"/>
    <cellStyle name="20% - Accent6 2 2 2 23 2" xfId="38104"/>
    <cellStyle name="20% - Accent6 2 2 2 24" xfId="15985"/>
    <cellStyle name="20% - Accent6 2 2 2 24 2" xfId="38760"/>
    <cellStyle name="20% - Accent6 2 2 2 25" xfId="16641"/>
    <cellStyle name="20% - Accent6 2 2 2 25 2" xfId="39416"/>
    <cellStyle name="20% - Accent6 2 2 2 26" xfId="17297"/>
    <cellStyle name="20% - Accent6 2 2 2 26 2" xfId="40072"/>
    <cellStyle name="20% - Accent6 2 2 2 27" xfId="17953"/>
    <cellStyle name="20% - Accent6 2 2 2 27 2" xfId="40728"/>
    <cellStyle name="20% - Accent6 2 2 2 28" xfId="18609"/>
    <cellStyle name="20% - Accent6 2 2 2 28 2" xfId="41384"/>
    <cellStyle name="20% - Accent6 2 2 2 29" xfId="19265"/>
    <cellStyle name="20% - Accent6 2 2 2 29 2" xfId="42040"/>
    <cellStyle name="20% - Accent6 2 2 2 3" xfId="1225"/>
    <cellStyle name="20% - Accent6 2 2 2 3 2" xfId="2865"/>
    <cellStyle name="20% - Accent6 2 2 2 3 2 2" xfId="25640"/>
    <cellStyle name="20% - Accent6 2 2 2 3 3" xfId="24000"/>
    <cellStyle name="20% - Accent6 2 2 2 30" xfId="19921"/>
    <cellStyle name="20% - Accent6 2 2 2 30 2" xfId="42696"/>
    <cellStyle name="20% - Accent6 2 2 2 31" xfId="20577"/>
    <cellStyle name="20% - Accent6 2 2 2 31 2" xfId="43352"/>
    <cellStyle name="20% - Accent6 2 2 2 32" xfId="21233"/>
    <cellStyle name="20% - Accent6 2 2 2 32 2" xfId="44008"/>
    <cellStyle name="20% - Accent6 2 2 2 33" xfId="21889"/>
    <cellStyle name="20% - Accent6 2 2 2 33 2" xfId="44664"/>
    <cellStyle name="20% - Accent6 2 2 2 34" xfId="22545"/>
    <cellStyle name="20% - Accent6 2 2 2 34 2" xfId="45320"/>
    <cellStyle name="20% - Accent6 2 2 2 35" xfId="23344"/>
    <cellStyle name="20% - Accent6 2 2 2 4" xfId="1881"/>
    <cellStyle name="20% - Accent6 2 2 2 4 2" xfId="3521"/>
    <cellStyle name="20% - Accent6 2 2 2 4 2 2" xfId="26296"/>
    <cellStyle name="20% - Accent6 2 2 2 4 3" xfId="24656"/>
    <cellStyle name="20% - Accent6 2 2 2 5" xfId="4177"/>
    <cellStyle name="20% - Accent6 2 2 2 5 2" xfId="26952"/>
    <cellStyle name="20% - Accent6 2 2 2 6" xfId="4833"/>
    <cellStyle name="20% - Accent6 2 2 2 6 2" xfId="27608"/>
    <cellStyle name="20% - Accent6 2 2 2 7" xfId="5489"/>
    <cellStyle name="20% - Accent6 2 2 2 7 2" xfId="28264"/>
    <cellStyle name="20% - Accent6 2 2 2 8" xfId="6145"/>
    <cellStyle name="20% - Accent6 2 2 2 8 2" xfId="28920"/>
    <cellStyle name="20% - Accent6 2 2 2 9" xfId="2537"/>
    <cellStyle name="20% - Accent6 2 2 2 9 2" xfId="25312"/>
    <cellStyle name="20% - Accent6 2 2 20" xfId="12520"/>
    <cellStyle name="20% - Accent6 2 2 20 2" xfId="35295"/>
    <cellStyle name="20% - Accent6 2 2 21" xfId="13176"/>
    <cellStyle name="20% - Accent6 2 2 21 2" xfId="35951"/>
    <cellStyle name="20% - Accent6 2 2 22" xfId="13832"/>
    <cellStyle name="20% - Accent6 2 2 22 2" xfId="36607"/>
    <cellStyle name="20% - Accent6 2 2 23" xfId="14488"/>
    <cellStyle name="20% - Accent6 2 2 23 2" xfId="37263"/>
    <cellStyle name="20% - Accent6 2 2 24" xfId="15144"/>
    <cellStyle name="20% - Accent6 2 2 24 2" xfId="37919"/>
    <cellStyle name="20% - Accent6 2 2 25" xfId="15800"/>
    <cellStyle name="20% - Accent6 2 2 25 2" xfId="38575"/>
    <cellStyle name="20% - Accent6 2 2 26" xfId="16456"/>
    <cellStyle name="20% - Accent6 2 2 26 2" xfId="39231"/>
    <cellStyle name="20% - Accent6 2 2 27" xfId="17112"/>
    <cellStyle name="20% - Accent6 2 2 27 2" xfId="39887"/>
    <cellStyle name="20% - Accent6 2 2 28" xfId="17768"/>
    <cellStyle name="20% - Accent6 2 2 28 2" xfId="40543"/>
    <cellStyle name="20% - Accent6 2 2 29" xfId="18424"/>
    <cellStyle name="20% - Accent6 2 2 29 2" xfId="41199"/>
    <cellStyle name="20% - Accent6 2 2 3" xfId="712"/>
    <cellStyle name="20% - Accent6 2 2 3 10" xfId="8256"/>
    <cellStyle name="20% - Accent6 2 2 3 10 2" xfId="31031"/>
    <cellStyle name="20% - Accent6 2 2 3 11" xfId="8912"/>
    <cellStyle name="20% - Accent6 2 2 3 11 2" xfId="31687"/>
    <cellStyle name="20% - Accent6 2 2 3 12" xfId="9568"/>
    <cellStyle name="20% - Accent6 2 2 3 12 2" xfId="32343"/>
    <cellStyle name="20% - Accent6 2 2 3 13" xfId="10224"/>
    <cellStyle name="20% - Accent6 2 2 3 13 2" xfId="32999"/>
    <cellStyle name="20% - Accent6 2 2 3 14" xfId="10880"/>
    <cellStyle name="20% - Accent6 2 2 3 14 2" xfId="33655"/>
    <cellStyle name="20% - Accent6 2 2 3 15" xfId="11536"/>
    <cellStyle name="20% - Accent6 2 2 3 15 2" xfId="34311"/>
    <cellStyle name="20% - Accent6 2 2 3 16" xfId="12192"/>
    <cellStyle name="20% - Accent6 2 2 3 16 2" xfId="34967"/>
    <cellStyle name="20% - Accent6 2 2 3 17" xfId="12848"/>
    <cellStyle name="20% - Accent6 2 2 3 17 2" xfId="35623"/>
    <cellStyle name="20% - Accent6 2 2 3 18" xfId="13504"/>
    <cellStyle name="20% - Accent6 2 2 3 18 2" xfId="36279"/>
    <cellStyle name="20% - Accent6 2 2 3 19" xfId="14160"/>
    <cellStyle name="20% - Accent6 2 2 3 19 2" xfId="36935"/>
    <cellStyle name="20% - Accent6 2 2 3 2" xfId="1368"/>
    <cellStyle name="20% - Accent6 2 2 3 2 2" xfId="3664"/>
    <cellStyle name="20% - Accent6 2 2 3 2 2 2" xfId="26439"/>
    <cellStyle name="20% - Accent6 2 2 3 2 3" xfId="24143"/>
    <cellStyle name="20% - Accent6 2 2 3 20" xfId="14816"/>
    <cellStyle name="20% - Accent6 2 2 3 20 2" xfId="37591"/>
    <cellStyle name="20% - Accent6 2 2 3 21" xfId="15472"/>
    <cellStyle name="20% - Accent6 2 2 3 21 2" xfId="38247"/>
    <cellStyle name="20% - Accent6 2 2 3 22" xfId="16128"/>
    <cellStyle name="20% - Accent6 2 2 3 22 2" xfId="38903"/>
    <cellStyle name="20% - Accent6 2 2 3 23" xfId="16784"/>
    <cellStyle name="20% - Accent6 2 2 3 23 2" xfId="39559"/>
    <cellStyle name="20% - Accent6 2 2 3 24" xfId="17440"/>
    <cellStyle name="20% - Accent6 2 2 3 24 2" xfId="40215"/>
    <cellStyle name="20% - Accent6 2 2 3 25" xfId="18096"/>
    <cellStyle name="20% - Accent6 2 2 3 25 2" xfId="40871"/>
    <cellStyle name="20% - Accent6 2 2 3 26" xfId="18752"/>
    <cellStyle name="20% - Accent6 2 2 3 26 2" xfId="41527"/>
    <cellStyle name="20% - Accent6 2 2 3 27" xfId="19408"/>
    <cellStyle name="20% - Accent6 2 2 3 27 2" xfId="42183"/>
    <cellStyle name="20% - Accent6 2 2 3 28" xfId="20064"/>
    <cellStyle name="20% - Accent6 2 2 3 28 2" xfId="42839"/>
    <cellStyle name="20% - Accent6 2 2 3 29" xfId="20720"/>
    <cellStyle name="20% - Accent6 2 2 3 29 2" xfId="43495"/>
    <cellStyle name="20% - Accent6 2 2 3 3" xfId="2024"/>
    <cellStyle name="20% - Accent6 2 2 3 3 2" xfId="4320"/>
    <cellStyle name="20% - Accent6 2 2 3 3 2 2" xfId="27095"/>
    <cellStyle name="20% - Accent6 2 2 3 3 3" xfId="24799"/>
    <cellStyle name="20% - Accent6 2 2 3 30" xfId="21376"/>
    <cellStyle name="20% - Accent6 2 2 3 30 2" xfId="44151"/>
    <cellStyle name="20% - Accent6 2 2 3 31" xfId="22032"/>
    <cellStyle name="20% - Accent6 2 2 3 31 2" xfId="44807"/>
    <cellStyle name="20% - Accent6 2 2 3 32" xfId="22688"/>
    <cellStyle name="20% - Accent6 2 2 3 32 2" xfId="45463"/>
    <cellStyle name="20% - Accent6 2 2 3 33" xfId="23487"/>
    <cellStyle name="20% - Accent6 2 2 3 4" xfId="4976"/>
    <cellStyle name="20% - Accent6 2 2 3 4 2" xfId="27751"/>
    <cellStyle name="20% - Accent6 2 2 3 5" xfId="5632"/>
    <cellStyle name="20% - Accent6 2 2 3 5 2" xfId="28407"/>
    <cellStyle name="20% - Accent6 2 2 3 6" xfId="6288"/>
    <cellStyle name="20% - Accent6 2 2 3 6 2" xfId="29063"/>
    <cellStyle name="20% - Accent6 2 2 3 7" xfId="3008"/>
    <cellStyle name="20% - Accent6 2 2 3 7 2" xfId="25783"/>
    <cellStyle name="20% - Accent6 2 2 3 8" xfId="6944"/>
    <cellStyle name="20% - Accent6 2 2 3 8 2" xfId="29719"/>
    <cellStyle name="20% - Accent6 2 2 3 9" xfId="7600"/>
    <cellStyle name="20% - Accent6 2 2 3 9 2" xfId="30375"/>
    <cellStyle name="20% - Accent6 2 2 30" xfId="19080"/>
    <cellStyle name="20% - Accent6 2 2 30 2" xfId="41855"/>
    <cellStyle name="20% - Accent6 2 2 31" xfId="19736"/>
    <cellStyle name="20% - Accent6 2 2 31 2" xfId="42511"/>
    <cellStyle name="20% - Accent6 2 2 32" xfId="20392"/>
    <cellStyle name="20% - Accent6 2 2 32 2" xfId="43167"/>
    <cellStyle name="20% - Accent6 2 2 33" xfId="21048"/>
    <cellStyle name="20% - Accent6 2 2 33 2" xfId="43823"/>
    <cellStyle name="20% - Accent6 2 2 34" xfId="21704"/>
    <cellStyle name="20% - Accent6 2 2 34 2" xfId="44479"/>
    <cellStyle name="20% - Accent6 2 2 35" xfId="22360"/>
    <cellStyle name="20% - Accent6 2 2 35 2" xfId="45135"/>
    <cellStyle name="20% - Accent6 2 2 36" xfId="23016"/>
    <cellStyle name="20% - Accent6 2 2 4" xfId="385"/>
    <cellStyle name="20% - Accent6 2 2 4 2" xfId="2680"/>
    <cellStyle name="20% - Accent6 2 2 4 2 2" xfId="25455"/>
    <cellStyle name="20% - Accent6 2 2 4 3" xfId="23159"/>
    <cellStyle name="20% - Accent6 2 2 5" xfId="1040"/>
    <cellStyle name="20% - Accent6 2 2 5 2" xfId="3336"/>
    <cellStyle name="20% - Accent6 2 2 5 2 2" xfId="26111"/>
    <cellStyle name="20% - Accent6 2 2 5 3" xfId="23815"/>
    <cellStyle name="20% - Accent6 2 2 6" xfId="1696"/>
    <cellStyle name="20% - Accent6 2 2 6 2" xfId="3992"/>
    <cellStyle name="20% - Accent6 2 2 6 2 2" xfId="26767"/>
    <cellStyle name="20% - Accent6 2 2 6 3" xfId="24471"/>
    <cellStyle name="20% - Accent6 2 2 7" xfId="4648"/>
    <cellStyle name="20% - Accent6 2 2 7 2" xfId="27423"/>
    <cellStyle name="20% - Accent6 2 2 8" xfId="5304"/>
    <cellStyle name="20% - Accent6 2 2 8 2" xfId="28079"/>
    <cellStyle name="20% - Accent6 2 2 9" xfId="5960"/>
    <cellStyle name="20% - Accent6 2 2 9 2" xfId="28735"/>
    <cellStyle name="20% - Accent6 2 20" xfId="11778"/>
    <cellStyle name="20% - Accent6 2 20 2" xfId="34553"/>
    <cellStyle name="20% - Accent6 2 21" xfId="12434"/>
    <cellStyle name="20% - Accent6 2 21 2" xfId="35209"/>
    <cellStyle name="20% - Accent6 2 22" xfId="13090"/>
    <cellStyle name="20% - Accent6 2 22 2" xfId="35865"/>
    <cellStyle name="20% - Accent6 2 23" xfId="13746"/>
    <cellStyle name="20% - Accent6 2 23 2" xfId="36521"/>
    <cellStyle name="20% - Accent6 2 24" xfId="14402"/>
    <cellStyle name="20% - Accent6 2 24 2" xfId="37177"/>
    <cellStyle name="20% - Accent6 2 25" xfId="15058"/>
    <cellStyle name="20% - Accent6 2 25 2" xfId="37833"/>
    <cellStyle name="20% - Accent6 2 26" xfId="15714"/>
    <cellStyle name="20% - Accent6 2 26 2" xfId="38489"/>
    <cellStyle name="20% - Accent6 2 27" xfId="16370"/>
    <cellStyle name="20% - Accent6 2 27 2" xfId="39145"/>
    <cellStyle name="20% - Accent6 2 28" xfId="17026"/>
    <cellStyle name="20% - Accent6 2 28 2" xfId="39801"/>
    <cellStyle name="20% - Accent6 2 29" xfId="17682"/>
    <cellStyle name="20% - Accent6 2 29 2" xfId="40457"/>
    <cellStyle name="20% - Accent6 2 3" xfId="484"/>
    <cellStyle name="20% - Accent6 2 3 10" xfId="6715"/>
    <cellStyle name="20% - Accent6 2 3 10 2" xfId="29490"/>
    <cellStyle name="20% - Accent6 2 3 11" xfId="7371"/>
    <cellStyle name="20% - Accent6 2 3 11 2" xfId="30146"/>
    <cellStyle name="20% - Accent6 2 3 12" xfId="8027"/>
    <cellStyle name="20% - Accent6 2 3 12 2" xfId="30802"/>
    <cellStyle name="20% - Accent6 2 3 13" xfId="8683"/>
    <cellStyle name="20% - Accent6 2 3 13 2" xfId="31458"/>
    <cellStyle name="20% - Accent6 2 3 14" xfId="9339"/>
    <cellStyle name="20% - Accent6 2 3 14 2" xfId="32114"/>
    <cellStyle name="20% - Accent6 2 3 15" xfId="9995"/>
    <cellStyle name="20% - Accent6 2 3 15 2" xfId="32770"/>
    <cellStyle name="20% - Accent6 2 3 16" xfId="10651"/>
    <cellStyle name="20% - Accent6 2 3 16 2" xfId="33426"/>
    <cellStyle name="20% - Accent6 2 3 17" xfId="11307"/>
    <cellStyle name="20% - Accent6 2 3 17 2" xfId="34082"/>
    <cellStyle name="20% - Accent6 2 3 18" xfId="11963"/>
    <cellStyle name="20% - Accent6 2 3 18 2" xfId="34738"/>
    <cellStyle name="20% - Accent6 2 3 19" xfId="12619"/>
    <cellStyle name="20% - Accent6 2 3 19 2" xfId="35394"/>
    <cellStyle name="20% - Accent6 2 3 2" xfId="811"/>
    <cellStyle name="20% - Accent6 2 3 2 10" xfId="8355"/>
    <cellStyle name="20% - Accent6 2 3 2 10 2" xfId="31130"/>
    <cellStyle name="20% - Accent6 2 3 2 11" xfId="9011"/>
    <cellStyle name="20% - Accent6 2 3 2 11 2" xfId="31786"/>
    <cellStyle name="20% - Accent6 2 3 2 12" xfId="9667"/>
    <cellStyle name="20% - Accent6 2 3 2 12 2" xfId="32442"/>
    <cellStyle name="20% - Accent6 2 3 2 13" xfId="10323"/>
    <cellStyle name="20% - Accent6 2 3 2 13 2" xfId="33098"/>
    <cellStyle name="20% - Accent6 2 3 2 14" xfId="10979"/>
    <cellStyle name="20% - Accent6 2 3 2 14 2" xfId="33754"/>
    <cellStyle name="20% - Accent6 2 3 2 15" xfId="11635"/>
    <cellStyle name="20% - Accent6 2 3 2 15 2" xfId="34410"/>
    <cellStyle name="20% - Accent6 2 3 2 16" xfId="12291"/>
    <cellStyle name="20% - Accent6 2 3 2 16 2" xfId="35066"/>
    <cellStyle name="20% - Accent6 2 3 2 17" xfId="12947"/>
    <cellStyle name="20% - Accent6 2 3 2 17 2" xfId="35722"/>
    <cellStyle name="20% - Accent6 2 3 2 18" xfId="13603"/>
    <cellStyle name="20% - Accent6 2 3 2 18 2" xfId="36378"/>
    <cellStyle name="20% - Accent6 2 3 2 19" xfId="14259"/>
    <cellStyle name="20% - Accent6 2 3 2 19 2" xfId="37034"/>
    <cellStyle name="20% - Accent6 2 3 2 2" xfId="1467"/>
    <cellStyle name="20% - Accent6 2 3 2 2 2" xfId="3763"/>
    <cellStyle name="20% - Accent6 2 3 2 2 2 2" xfId="26538"/>
    <cellStyle name="20% - Accent6 2 3 2 2 3" xfId="24242"/>
    <cellStyle name="20% - Accent6 2 3 2 20" xfId="14915"/>
    <cellStyle name="20% - Accent6 2 3 2 20 2" xfId="37690"/>
    <cellStyle name="20% - Accent6 2 3 2 21" xfId="15571"/>
    <cellStyle name="20% - Accent6 2 3 2 21 2" xfId="38346"/>
    <cellStyle name="20% - Accent6 2 3 2 22" xfId="16227"/>
    <cellStyle name="20% - Accent6 2 3 2 22 2" xfId="39002"/>
    <cellStyle name="20% - Accent6 2 3 2 23" xfId="16883"/>
    <cellStyle name="20% - Accent6 2 3 2 23 2" xfId="39658"/>
    <cellStyle name="20% - Accent6 2 3 2 24" xfId="17539"/>
    <cellStyle name="20% - Accent6 2 3 2 24 2" xfId="40314"/>
    <cellStyle name="20% - Accent6 2 3 2 25" xfId="18195"/>
    <cellStyle name="20% - Accent6 2 3 2 25 2" xfId="40970"/>
    <cellStyle name="20% - Accent6 2 3 2 26" xfId="18851"/>
    <cellStyle name="20% - Accent6 2 3 2 26 2" xfId="41626"/>
    <cellStyle name="20% - Accent6 2 3 2 27" xfId="19507"/>
    <cellStyle name="20% - Accent6 2 3 2 27 2" xfId="42282"/>
    <cellStyle name="20% - Accent6 2 3 2 28" xfId="20163"/>
    <cellStyle name="20% - Accent6 2 3 2 28 2" xfId="42938"/>
    <cellStyle name="20% - Accent6 2 3 2 29" xfId="20819"/>
    <cellStyle name="20% - Accent6 2 3 2 29 2" xfId="43594"/>
    <cellStyle name="20% - Accent6 2 3 2 3" xfId="2123"/>
    <cellStyle name="20% - Accent6 2 3 2 3 2" xfId="4419"/>
    <cellStyle name="20% - Accent6 2 3 2 3 2 2" xfId="27194"/>
    <cellStyle name="20% - Accent6 2 3 2 3 3" xfId="24898"/>
    <cellStyle name="20% - Accent6 2 3 2 30" xfId="21475"/>
    <cellStyle name="20% - Accent6 2 3 2 30 2" xfId="44250"/>
    <cellStyle name="20% - Accent6 2 3 2 31" xfId="22131"/>
    <cellStyle name="20% - Accent6 2 3 2 31 2" xfId="44906"/>
    <cellStyle name="20% - Accent6 2 3 2 32" xfId="22787"/>
    <cellStyle name="20% - Accent6 2 3 2 32 2" xfId="45562"/>
    <cellStyle name="20% - Accent6 2 3 2 33" xfId="23586"/>
    <cellStyle name="20% - Accent6 2 3 2 4" xfId="5075"/>
    <cellStyle name="20% - Accent6 2 3 2 4 2" xfId="27850"/>
    <cellStyle name="20% - Accent6 2 3 2 5" xfId="5731"/>
    <cellStyle name="20% - Accent6 2 3 2 5 2" xfId="28506"/>
    <cellStyle name="20% - Accent6 2 3 2 6" xfId="6387"/>
    <cellStyle name="20% - Accent6 2 3 2 6 2" xfId="29162"/>
    <cellStyle name="20% - Accent6 2 3 2 7" xfId="3107"/>
    <cellStyle name="20% - Accent6 2 3 2 7 2" xfId="25882"/>
    <cellStyle name="20% - Accent6 2 3 2 8" xfId="7043"/>
    <cellStyle name="20% - Accent6 2 3 2 8 2" xfId="29818"/>
    <cellStyle name="20% - Accent6 2 3 2 9" xfId="7699"/>
    <cellStyle name="20% - Accent6 2 3 2 9 2" xfId="30474"/>
    <cellStyle name="20% - Accent6 2 3 20" xfId="13275"/>
    <cellStyle name="20% - Accent6 2 3 20 2" xfId="36050"/>
    <cellStyle name="20% - Accent6 2 3 21" xfId="13931"/>
    <cellStyle name="20% - Accent6 2 3 21 2" xfId="36706"/>
    <cellStyle name="20% - Accent6 2 3 22" xfId="14587"/>
    <cellStyle name="20% - Accent6 2 3 22 2" xfId="37362"/>
    <cellStyle name="20% - Accent6 2 3 23" xfId="15243"/>
    <cellStyle name="20% - Accent6 2 3 23 2" xfId="38018"/>
    <cellStyle name="20% - Accent6 2 3 24" xfId="15899"/>
    <cellStyle name="20% - Accent6 2 3 24 2" xfId="38674"/>
    <cellStyle name="20% - Accent6 2 3 25" xfId="16555"/>
    <cellStyle name="20% - Accent6 2 3 25 2" xfId="39330"/>
    <cellStyle name="20% - Accent6 2 3 26" xfId="17211"/>
    <cellStyle name="20% - Accent6 2 3 26 2" xfId="39986"/>
    <cellStyle name="20% - Accent6 2 3 27" xfId="17867"/>
    <cellStyle name="20% - Accent6 2 3 27 2" xfId="40642"/>
    <cellStyle name="20% - Accent6 2 3 28" xfId="18523"/>
    <cellStyle name="20% - Accent6 2 3 28 2" xfId="41298"/>
    <cellStyle name="20% - Accent6 2 3 29" xfId="19179"/>
    <cellStyle name="20% - Accent6 2 3 29 2" xfId="41954"/>
    <cellStyle name="20% - Accent6 2 3 3" xfId="1139"/>
    <cellStyle name="20% - Accent6 2 3 3 2" xfId="2779"/>
    <cellStyle name="20% - Accent6 2 3 3 2 2" xfId="25554"/>
    <cellStyle name="20% - Accent6 2 3 3 3" xfId="23914"/>
    <cellStyle name="20% - Accent6 2 3 30" xfId="19835"/>
    <cellStyle name="20% - Accent6 2 3 30 2" xfId="42610"/>
    <cellStyle name="20% - Accent6 2 3 31" xfId="20491"/>
    <cellStyle name="20% - Accent6 2 3 31 2" xfId="43266"/>
    <cellStyle name="20% - Accent6 2 3 32" xfId="21147"/>
    <cellStyle name="20% - Accent6 2 3 32 2" xfId="43922"/>
    <cellStyle name="20% - Accent6 2 3 33" xfId="21803"/>
    <cellStyle name="20% - Accent6 2 3 33 2" xfId="44578"/>
    <cellStyle name="20% - Accent6 2 3 34" xfId="22459"/>
    <cellStyle name="20% - Accent6 2 3 34 2" xfId="45234"/>
    <cellStyle name="20% - Accent6 2 3 35" xfId="23258"/>
    <cellStyle name="20% - Accent6 2 3 4" xfId="1795"/>
    <cellStyle name="20% - Accent6 2 3 4 2" xfId="3435"/>
    <cellStyle name="20% - Accent6 2 3 4 2 2" xfId="26210"/>
    <cellStyle name="20% - Accent6 2 3 4 3" xfId="24570"/>
    <cellStyle name="20% - Accent6 2 3 5" xfId="4091"/>
    <cellStyle name="20% - Accent6 2 3 5 2" xfId="26866"/>
    <cellStyle name="20% - Accent6 2 3 6" xfId="4747"/>
    <cellStyle name="20% - Accent6 2 3 6 2" xfId="27522"/>
    <cellStyle name="20% - Accent6 2 3 7" xfId="5403"/>
    <cellStyle name="20% - Accent6 2 3 7 2" xfId="28178"/>
    <cellStyle name="20% - Accent6 2 3 8" xfId="6059"/>
    <cellStyle name="20% - Accent6 2 3 8 2" xfId="28834"/>
    <cellStyle name="20% - Accent6 2 3 9" xfId="2451"/>
    <cellStyle name="20% - Accent6 2 3 9 2" xfId="25226"/>
    <cellStyle name="20% - Accent6 2 30" xfId="18338"/>
    <cellStyle name="20% - Accent6 2 30 2" xfId="41113"/>
    <cellStyle name="20% - Accent6 2 31" xfId="18994"/>
    <cellStyle name="20% - Accent6 2 31 2" xfId="41769"/>
    <cellStyle name="20% - Accent6 2 32" xfId="19650"/>
    <cellStyle name="20% - Accent6 2 32 2" xfId="42425"/>
    <cellStyle name="20% - Accent6 2 33" xfId="20306"/>
    <cellStyle name="20% - Accent6 2 33 2" xfId="43081"/>
    <cellStyle name="20% - Accent6 2 34" xfId="20962"/>
    <cellStyle name="20% - Accent6 2 34 2" xfId="43737"/>
    <cellStyle name="20% - Accent6 2 35" xfId="21618"/>
    <cellStyle name="20% - Accent6 2 35 2" xfId="44393"/>
    <cellStyle name="20% - Accent6 2 36" xfId="22274"/>
    <cellStyle name="20% - Accent6 2 36 2" xfId="45049"/>
    <cellStyle name="20% - Accent6 2 37" xfId="213"/>
    <cellStyle name="20% - Accent6 2 38" xfId="22930"/>
    <cellStyle name="20% - Accent6 2 4" xfId="626"/>
    <cellStyle name="20% - Accent6 2 4 10" xfId="8170"/>
    <cellStyle name="20% - Accent6 2 4 10 2" xfId="30945"/>
    <cellStyle name="20% - Accent6 2 4 11" xfId="8826"/>
    <cellStyle name="20% - Accent6 2 4 11 2" xfId="31601"/>
    <cellStyle name="20% - Accent6 2 4 12" xfId="9482"/>
    <cellStyle name="20% - Accent6 2 4 12 2" xfId="32257"/>
    <cellStyle name="20% - Accent6 2 4 13" xfId="10138"/>
    <cellStyle name="20% - Accent6 2 4 13 2" xfId="32913"/>
    <cellStyle name="20% - Accent6 2 4 14" xfId="10794"/>
    <cellStyle name="20% - Accent6 2 4 14 2" xfId="33569"/>
    <cellStyle name="20% - Accent6 2 4 15" xfId="11450"/>
    <cellStyle name="20% - Accent6 2 4 15 2" xfId="34225"/>
    <cellStyle name="20% - Accent6 2 4 16" xfId="12106"/>
    <cellStyle name="20% - Accent6 2 4 16 2" xfId="34881"/>
    <cellStyle name="20% - Accent6 2 4 17" xfId="12762"/>
    <cellStyle name="20% - Accent6 2 4 17 2" xfId="35537"/>
    <cellStyle name="20% - Accent6 2 4 18" xfId="13418"/>
    <cellStyle name="20% - Accent6 2 4 18 2" xfId="36193"/>
    <cellStyle name="20% - Accent6 2 4 19" xfId="14074"/>
    <cellStyle name="20% - Accent6 2 4 19 2" xfId="36849"/>
    <cellStyle name="20% - Accent6 2 4 2" xfId="1282"/>
    <cellStyle name="20% - Accent6 2 4 2 2" xfId="3578"/>
    <cellStyle name="20% - Accent6 2 4 2 2 2" xfId="26353"/>
    <cellStyle name="20% - Accent6 2 4 2 3" xfId="24057"/>
    <cellStyle name="20% - Accent6 2 4 20" xfId="14730"/>
    <cellStyle name="20% - Accent6 2 4 20 2" xfId="37505"/>
    <cellStyle name="20% - Accent6 2 4 21" xfId="15386"/>
    <cellStyle name="20% - Accent6 2 4 21 2" xfId="38161"/>
    <cellStyle name="20% - Accent6 2 4 22" xfId="16042"/>
    <cellStyle name="20% - Accent6 2 4 22 2" xfId="38817"/>
    <cellStyle name="20% - Accent6 2 4 23" xfId="16698"/>
    <cellStyle name="20% - Accent6 2 4 23 2" xfId="39473"/>
    <cellStyle name="20% - Accent6 2 4 24" xfId="17354"/>
    <cellStyle name="20% - Accent6 2 4 24 2" xfId="40129"/>
    <cellStyle name="20% - Accent6 2 4 25" xfId="18010"/>
    <cellStyle name="20% - Accent6 2 4 25 2" xfId="40785"/>
    <cellStyle name="20% - Accent6 2 4 26" xfId="18666"/>
    <cellStyle name="20% - Accent6 2 4 26 2" xfId="41441"/>
    <cellStyle name="20% - Accent6 2 4 27" xfId="19322"/>
    <cellStyle name="20% - Accent6 2 4 27 2" xfId="42097"/>
    <cellStyle name="20% - Accent6 2 4 28" xfId="19978"/>
    <cellStyle name="20% - Accent6 2 4 28 2" xfId="42753"/>
    <cellStyle name="20% - Accent6 2 4 29" xfId="20634"/>
    <cellStyle name="20% - Accent6 2 4 29 2" xfId="43409"/>
    <cellStyle name="20% - Accent6 2 4 3" xfId="1938"/>
    <cellStyle name="20% - Accent6 2 4 3 2" xfId="4234"/>
    <cellStyle name="20% - Accent6 2 4 3 2 2" xfId="27009"/>
    <cellStyle name="20% - Accent6 2 4 3 3" xfId="24713"/>
    <cellStyle name="20% - Accent6 2 4 30" xfId="21290"/>
    <cellStyle name="20% - Accent6 2 4 30 2" xfId="44065"/>
    <cellStyle name="20% - Accent6 2 4 31" xfId="21946"/>
    <cellStyle name="20% - Accent6 2 4 31 2" xfId="44721"/>
    <cellStyle name="20% - Accent6 2 4 32" xfId="22602"/>
    <cellStyle name="20% - Accent6 2 4 32 2" xfId="45377"/>
    <cellStyle name="20% - Accent6 2 4 33" xfId="23401"/>
    <cellStyle name="20% - Accent6 2 4 4" xfId="4890"/>
    <cellStyle name="20% - Accent6 2 4 4 2" xfId="27665"/>
    <cellStyle name="20% - Accent6 2 4 5" xfId="5546"/>
    <cellStyle name="20% - Accent6 2 4 5 2" xfId="28321"/>
    <cellStyle name="20% - Accent6 2 4 6" xfId="6202"/>
    <cellStyle name="20% - Accent6 2 4 6 2" xfId="28977"/>
    <cellStyle name="20% - Accent6 2 4 7" xfId="2922"/>
    <cellStyle name="20% - Accent6 2 4 7 2" xfId="25697"/>
    <cellStyle name="20% - Accent6 2 4 8" xfId="6858"/>
    <cellStyle name="20% - Accent6 2 4 8 2" xfId="29633"/>
    <cellStyle name="20% - Accent6 2 4 9" xfId="7514"/>
    <cellStyle name="20% - Accent6 2 4 9 2" xfId="30289"/>
    <cellStyle name="20% - Accent6 2 5" xfId="299"/>
    <cellStyle name="20% - Accent6 2 5 2" xfId="2594"/>
    <cellStyle name="20% - Accent6 2 5 2 2" xfId="25369"/>
    <cellStyle name="20% - Accent6 2 5 3" xfId="23073"/>
    <cellStyle name="20% - Accent6 2 6" xfId="954"/>
    <cellStyle name="20% - Accent6 2 6 2" xfId="3250"/>
    <cellStyle name="20% - Accent6 2 6 2 2" xfId="26025"/>
    <cellStyle name="20% - Accent6 2 6 3" xfId="23729"/>
    <cellStyle name="20% - Accent6 2 7" xfId="1610"/>
    <cellStyle name="20% - Accent6 2 7 2" xfId="3906"/>
    <cellStyle name="20% - Accent6 2 7 2 2" xfId="26681"/>
    <cellStyle name="20% - Accent6 2 7 3" xfId="24385"/>
    <cellStyle name="20% - Accent6 2 8" xfId="4562"/>
    <cellStyle name="20% - Accent6 2 8 2" xfId="27337"/>
    <cellStyle name="20% - Accent6 2 9" xfId="5218"/>
    <cellStyle name="20% - Accent6 2 9 2" xfId="27993"/>
    <cellStyle name="20% - Accent6 20" xfId="7170"/>
    <cellStyle name="20% - Accent6 20 2" xfId="29945"/>
    <cellStyle name="20% - Accent6 21" xfId="7826"/>
    <cellStyle name="20% - Accent6 21 2" xfId="30601"/>
    <cellStyle name="20% - Accent6 22" xfId="8482"/>
    <cellStyle name="20% - Accent6 22 2" xfId="31257"/>
    <cellStyle name="20% - Accent6 23" xfId="9138"/>
    <cellStyle name="20% - Accent6 23 2" xfId="31913"/>
    <cellStyle name="20% - Accent6 24" xfId="9794"/>
    <cellStyle name="20% - Accent6 24 2" xfId="32569"/>
    <cellStyle name="20% - Accent6 25" xfId="10450"/>
    <cellStyle name="20% - Accent6 25 2" xfId="33225"/>
    <cellStyle name="20% - Accent6 26" xfId="11106"/>
    <cellStyle name="20% - Accent6 26 2" xfId="33881"/>
    <cellStyle name="20% - Accent6 27" xfId="11762"/>
    <cellStyle name="20% - Accent6 27 2" xfId="34537"/>
    <cellStyle name="20% - Accent6 28" xfId="12418"/>
    <cellStyle name="20% - Accent6 28 2" xfId="35193"/>
    <cellStyle name="20% - Accent6 29" xfId="13074"/>
    <cellStyle name="20% - Accent6 29 2" xfId="35849"/>
    <cellStyle name="20% - Accent6 3" xfId="62"/>
    <cellStyle name="20% - Accent6 3 10" xfId="5889"/>
    <cellStyle name="20% - Accent6 3 10 2" xfId="28664"/>
    <cellStyle name="20% - Accent6 3 11" xfId="2281"/>
    <cellStyle name="20% - Accent6 3 11 2" xfId="25056"/>
    <cellStyle name="20% - Accent6 3 12" xfId="6545"/>
    <cellStyle name="20% - Accent6 3 12 2" xfId="29320"/>
    <cellStyle name="20% - Accent6 3 13" xfId="7201"/>
    <cellStyle name="20% - Accent6 3 13 2" xfId="29976"/>
    <cellStyle name="20% - Accent6 3 14" xfId="7857"/>
    <cellStyle name="20% - Accent6 3 14 2" xfId="30632"/>
    <cellStyle name="20% - Accent6 3 15" xfId="8513"/>
    <cellStyle name="20% - Accent6 3 15 2" xfId="31288"/>
    <cellStyle name="20% - Accent6 3 16" xfId="9169"/>
    <cellStyle name="20% - Accent6 3 16 2" xfId="31944"/>
    <cellStyle name="20% - Accent6 3 17" xfId="9825"/>
    <cellStyle name="20% - Accent6 3 17 2" xfId="32600"/>
    <cellStyle name="20% - Accent6 3 18" xfId="10481"/>
    <cellStyle name="20% - Accent6 3 18 2" xfId="33256"/>
    <cellStyle name="20% - Accent6 3 19" xfId="11137"/>
    <cellStyle name="20% - Accent6 3 19 2" xfId="33912"/>
    <cellStyle name="20% - Accent6 3 2" xfId="140"/>
    <cellStyle name="20% - Accent6 3 2 10" xfId="2336"/>
    <cellStyle name="20% - Accent6 3 2 10 2" xfId="25111"/>
    <cellStyle name="20% - Accent6 3 2 11" xfId="6600"/>
    <cellStyle name="20% - Accent6 3 2 11 2" xfId="29375"/>
    <cellStyle name="20% - Accent6 3 2 12" xfId="7256"/>
    <cellStyle name="20% - Accent6 3 2 12 2" xfId="30031"/>
    <cellStyle name="20% - Accent6 3 2 13" xfId="7912"/>
    <cellStyle name="20% - Accent6 3 2 13 2" xfId="30687"/>
    <cellStyle name="20% - Accent6 3 2 14" xfId="8568"/>
    <cellStyle name="20% - Accent6 3 2 14 2" xfId="31343"/>
    <cellStyle name="20% - Accent6 3 2 15" xfId="9224"/>
    <cellStyle name="20% - Accent6 3 2 15 2" xfId="31999"/>
    <cellStyle name="20% - Accent6 3 2 16" xfId="9880"/>
    <cellStyle name="20% - Accent6 3 2 16 2" xfId="32655"/>
    <cellStyle name="20% - Accent6 3 2 17" xfId="10536"/>
    <cellStyle name="20% - Accent6 3 2 17 2" xfId="33311"/>
    <cellStyle name="20% - Accent6 3 2 18" xfId="11192"/>
    <cellStyle name="20% - Accent6 3 2 18 2" xfId="33967"/>
    <cellStyle name="20% - Accent6 3 2 19" xfId="11848"/>
    <cellStyle name="20% - Accent6 3 2 19 2" xfId="34623"/>
    <cellStyle name="20% - Accent6 3 2 2" xfId="552"/>
    <cellStyle name="20% - Accent6 3 2 2 10" xfId="6785"/>
    <cellStyle name="20% - Accent6 3 2 2 10 2" xfId="29560"/>
    <cellStyle name="20% - Accent6 3 2 2 11" xfId="7441"/>
    <cellStyle name="20% - Accent6 3 2 2 11 2" xfId="30216"/>
    <cellStyle name="20% - Accent6 3 2 2 12" xfId="8097"/>
    <cellStyle name="20% - Accent6 3 2 2 12 2" xfId="30872"/>
    <cellStyle name="20% - Accent6 3 2 2 13" xfId="8753"/>
    <cellStyle name="20% - Accent6 3 2 2 13 2" xfId="31528"/>
    <cellStyle name="20% - Accent6 3 2 2 14" xfId="9409"/>
    <cellStyle name="20% - Accent6 3 2 2 14 2" xfId="32184"/>
    <cellStyle name="20% - Accent6 3 2 2 15" xfId="10065"/>
    <cellStyle name="20% - Accent6 3 2 2 15 2" xfId="32840"/>
    <cellStyle name="20% - Accent6 3 2 2 16" xfId="10721"/>
    <cellStyle name="20% - Accent6 3 2 2 16 2" xfId="33496"/>
    <cellStyle name="20% - Accent6 3 2 2 17" xfId="11377"/>
    <cellStyle name="20% - Accent6 3 2 2 17 2" xfId="34152"/>
    <cellStyle name="20% - Accent6 3 2 2 18" xfId="12033"/>
    <cellStyle name="20% - Accent6 3 2 2 18 2" xfId="34808"/>
    <cellStyle name="20% - Accent6 3 2 2 19" xfId="12689"/>
    <cellStyle name="20% - Accent6 3 2 2 19 2" xfId="35464"/>
    <cellStyle name="20% - Accent6 3 2 2 2" xfId="881"/>
    <cellStyle name="20% - Accent6 3 2 2 2 10" xfId="8425"/>
    <cellStyle name="20% - Accent6 3 2 2 2 10 2" xfId="31200"/>
    <cellStyle name="20% - Accent6 3 2 2 2 11" xfId="9081"/>
    <cellStyle name="20% - Accent6 3 2 2 2 11 2" xfId="31856"/>
    <cellStyle name="20% - Accent6 3 2 2 2 12" xfId="9737"/>
    <cellStyle name="20% - Accent6 3 2 2 2 12 2" xfId="32512"/>
    <cellStyle name="20% - Accent6 3 2 2 2 13" xfId="10393"/>
    <cellStyle name="20% - Accent6 3 2 2 2 13 2" xfId="33168"/>
    <cellStyle name="20% - Accent6 3 2 2 2 14" xfId="11049"/>
    <cellStyle name="20% - Accent6 3 2 2 2 14 2" xfId="33824"/>
    <cellStyle name="20% - Accent6 3 2 2 2 15" xfId="11705"/>
    <cellStyle name="20% - Accent6 3 2 2 2 15 2" xfId="34480"/>
    <cellStyle name="20% - Accent6 3 2 2 2 16" xfId="12361"/>
    <cellStyle name="20% - Accent6 3 2 2 2 16 2" xfId="35136"/>
    <cellStyle name="20% - Accent6 3 2 2 2 17" xfId="13017"/>
    <cellStyle name="20% - Accent6 3 2 2 2 17 2" xfId="35792"/>
    <cellStyle name="20% - Accent6 3 2 2 2 18" xfId="13673"/>
    <cellStyle name="20% - Accent6 3 2 2 2 18 2" xfId="36448"/>
    <cellStyle name="20% - Accent6 3 2 2 2 19" xfId="14329"/>
    <cellStyle name="20% - Accent6 3 2 2 2 19 2" xfId="37104"/>
    <cellStyle name="20% - Accent6 3 2 2 2 2" xfId="1537"/>
    <cellStyle name="20% - Accent6 3 2 2 2 2 2" xfId="3833"/>
    <cellStyle name="20% - Accent6 3 2 2 2 2 2 2" xfId="26608"/>
    <cellStyle name="20% - Accent6 3 2 2 2 2 3" xfId="24312"/>
    <cellStyle name="20% - Accent6 3 2 2 2 20" xfId="14985"/>
    <cellStyle name="20% - Accent6 3 2 2 2 20 2" xfId="37760"/>
    <cellStyle name="20% - Accent6 3 2 2 2 21" xfId="15641"/>
    <cellStyle name="20% - Accent6 3 2 2 2 21 2" xfId="38416"/>
    <cellStyle name="20% - Accent6 3 2 2 2 22" xfId="16297"/>
    <cellStyle name="20% - Accent6 3 2 2 2 22 2" xfId="39072"/>
    <cellStyle name="20% - Accent6 3 2 2 2 23" xfId="16953"/>
    <cellStyle name="20% - Accent6 3 2 2 2 23 2" xfId="39728"/>
    <cellStyle name="20% - Accent6 3 2 2 2 24" xfId="17609"/>
    <cellStyle name="20% - Accent6 3 2 2 2 24 2" xfId="40384"/>
    <cellStyle name="20% - Accent6 3 2 2 2 25" xfId="18265"/>
    <cellStyle name="20% - Accent6 3 2 2 2 25 2" xfId="41040"/>
    <cellStyle name="20% - Accent6 3 2 2 2 26" xfId="18921"/>
    <cellStyle name="20% - Accent6 3 2 2 2 26 2" xfId="41696"/>
    <cellStyle name="20% - Accent6 3 2 2 2 27" xfId="19577"/>
    <cellStyle name="20% - Accent6 3 2 2 2 27 2" xfId="42352"/>
    <cellStyle name="20% - Accent6 3 2 2 2 28" xfId="20233"/>
    <cellStyle name="20% - Accent6 3 2 2 2 28 2" xfId="43008"/>
    <cellStyle name="20% - Accent6 3 2 2 2 29" xfId="20889"/>
    <cellStyle name="20% - Accent6 3 2 2 2 29 2" xfId="43664"/>
    <cellStyle name="20% - Accent6 3 2 2 2 3" xfId="2193"/>
    <cellStyle name="20% - Accent6 3 2 2 2 3 2" xfId="4489"/>
    <cellStyle name="20% - Accent6 3 2 2 2 3 2 2" xfId="27264"/>
    <cellStyle name="20% - Accent6 3 2 2 2 3 3" xfId="24968"/>
    <cellStyle name="20% - Accent6 3 2 2 2 30" xfId="21545"/>
    <cellStyle name="20% - Accent6 3 2 2 2 30 2" xfId="44320"/>
    <cellStyle name="20% - Accent6 3 2 2 2 31" xfId="22201"/>
    <cellStyle name="20% - Accent6 3 2 2 2 31 2" xfId="44976"/>
    <cellStyle name="20% - Accent6 3 2 2 2 32" xfId="22857"/>
    <cellStyle name="20% - Accent6 3 2 2 2 32 2" xfId="45632"/>
    <cellStyle name="20% - Accent6 3 2 2 2 33" xfId="23656"/>
    <cellStyle name="20% - Accent6 3 2 2 2 4" xfId="5145"/>
    <cellStyle name="20% - Accent6 3 2 2 2 4 2" xfId="27920"/>
    <cellStyle name="20% - Accent6 3 2 2 2 5" xfId="5801"/>
    <cellStyle name="20% - Accent6 3 2 2 2 5 2" xfId="28576"/>
    <cellStyle name="20% - Accent6 3 2 2 2 6" xfId="6457"/>
    <cellStyle name="20% - Accent6 3 2 2 2 6 2" xfId="29232"/>
    <cellStyle name="20% - Accent6 3 2 2 2 7" xfId="3177"/>
    <cellStyle name="20% - Accent6 3 2 2 2 7 2" xfId="25952"/>
    <cellStyle name="20% - Accent6 3 2 2 2 8" xfId="7113"/>
    <cellStyle name="20% - Accent6 3 2 2 2 8 2" xfId="29888"/>
    <cellStyle name="20% - Accent6 3 2 2 2 9" xfId="7769"/>
    <cellStyle name="20% - Accent6 3 2 2 2 9 2" xfId="30544"/>
    <cellStyle name="20% - Accent6 3 2 2 20" xfId="13345"/>
    <cellStyle name="20% - Accent6 3 2 2 20 2" xfId="36120"/>
    <cellStyle name="20% - Accent6 3 2 2 21" xfId="14001"/>
    <cellStyle name="20% - Accent6 3 2 2 21 2" xfId="36776"/>
    <cellStyle name="20% - Accent6 3 2 2 22" xfId="14657"/>
    <cellStyle name="20% - Accent6 3 2 2 22 2" xfId="37432"/>
    <cellStyle name="20% - Accent6 3 2 2 23" xfId="15313"/>
    <cellStyle name="20% - Accent6 3 2 2 23 2" xfId="38088"/>
    <cellStyle name="20% - Accent6 3 2 2 24" xfId="15969"/>
    <cellStyle name="20% - Accent6 3 2 2 24 2" xfId="38744"/>
    <cellStyle name="20% - Accent6 3 2 2 25" xfId="16625"/>
    <cellStyle name="20% - Accent6 3 2 2 25 2" xfId="39400"/>
    <cellStyle name="20% - Accent6 3 2 2 26" xfId="17281"/>
    <cellStyle name="20% - Accent6 3 2 2 26 2" xfId="40056"/>
    <cellStyle name="20% - Accent6 3 2 2 27" xfId="17937"/>
    <cellStyle name="20% - Accent6 3 2 2 27 2" xfId="40712"/>
    <cellStyle name="20% - Accent6 3 2 2 28" xfId="18593"/>
    <cellStyle name="20% - Accent6 3 2 2 28 2" xfId="41368"/>
    <cellStyle name="20% - Accent6 3 2 2 29" xfId="19249"/>
    <cellStyle name="20% - Accent6 3 2 2 29 2" xfId="42024"/>
    <cellStyle name="20% - Accent6 3 2 2 3" xfId="1209"/>
    <cellStyle name="20% - Accent6 3 2 2 3 2" xfId="2849"/>
    <cellStyle name="20% - Accent6 3 2 2 3 2 2" xfId="25624"/>
    <cellStyle name="20% - Accent6 3 2 2 3 3" xfId="23984"/>
    <cellStyle name="20% - Accent6 3 2 2 30" xfId="19905"/>
    <cellStyle name="20% - Accent6 3 2 2 30 2" xfId="42680"/>
    <cellStyle name="20% - Accent6 3 2 2 31" xfId="20561"/>
    <cellStyle name="20% - Accent6 3 2 2 31 2" xfId="43336"/>
    <cellStyle name="20% - Accent6 3 2 2 32" xfId="21217"/>
    <cellStyle name="20% - Accent6 3 2 2 32 2" xfId="43992"/>
    <cellStyle name="20% - Accent6 3 2 2 33" xfId="21873"/>
    <cellStyle name="20% - Accent6 3 2 2 33 2" xfId="44648"/>
    <cellStyle name="20% - Accent6 3 2 2 34" xfId="22529"/>
    <cellStyle name="20% - Accent6 3 2 2 34 2" xfId="45304"/>
    <cellStyle name="20% - Accent6 3 2 2 35" xfId="23328"/>
    <cellStyle name="20% - Accent6 3 2 2 4" xfId="1865"/>
    <cellStyle name="20% - Accent6 3 2 2 4 2" xfId="3505"/>
    <cellStyle name="20% - Accent6 3 2 2 4 2 2" xfId="26280"/>
    <cellStyle name="20% - Accent6 3 2 2 4 3" xfId="24640"/>
    <cellStyle name="20% - Accent6 3 2 2 5" xfId="4161"/>
    <cellStyle name="20% - Accent6 3 2 2 5 2" xfId="26936"/>
    <cellStyle name="20% - Accent6 3 2 2 6" xfId="4817"/>
    <cellStyle name="20% - Accent6 3 2 2 6 2" xfId="27592"/>
    <cellStyle name="20% - Accent6 3 2 2 7" xfId="5473"/>
    <cellStyle name="20% - Accent6 3 2 2 7 2" xfId="28248"/>
    <cellStyle name="20% - Accent6 3 2 2 8" xfId="6129"/>
    <cellStyle name="20% - Accent6 3 2 2 8 2" xfId="28904"/>
    <cellStyle name="20% - Accent6 3 2 2 9" xfId="2521"/>
    <cellStyle name="20% - Accent6 3 2 2 9 2" xfId="25296"/>
    <cellStyle name="20% - Accent6 3 2 20" xfId="12504"/>
    <cellStyle name="20% - Accent6 3 2 20 2" xfId="35279"/>
    <cellStyle name="20% - Accent6 3 2 21" xfId="13160"/>
    <cellStyle name="20% - Accent6 3 2 21 2" xfId="35935"/>
    <cellStyle name="20% - Accent6 3 2 22" xfId="13816"/>
    <cellStyle name="20% - Accent6 3 2 22 2" xfId="36591"/>
    <cellStyle name="20% - Accent6 3 2 23" xfId="14472"/>
    <cellStyle name="20% - Accent6 3 2 23 2" xfId="37247"/>
    <cellStyle name="20% - Accent6 3 2 24" xfId="15128"/>
    <cellStyle name="20% - Accent6 3 2 24 2" xfId="37903"/>
    <cellStyle name="20% - Accent6 3 2 25" xfId="15784"/>
    <cellStyle name="20% - Accent6 3 2 25 2" xfId="38559"/>
    <cellStyle name="20% - Accent6 3 2 26" xfId="16440"/>
    <cellStyle name="20% - Accent6 3 2 26 2" xfId="39215"/>
    <cellStyle name="20% - Accent6 3 2 27" xfId="17096"/>
    <cellStyle name="20% - Accent6 3 2 27 2" xfId="39871"/>
    <cellStyle name="20% - Accent6 3 2 28" xfId="17752"/>
    <cellStyle name="20% - Accent6 3 2 28 2" xfId="40527"/>
    <cellStyle name="20% - Accent6 3 2 29" xfId="18408"/>
    <cellStyle name="20% - Accent6 3 2 29 2" xfId="41183"/>
    <cellStyle name="20% - Accent6 3 2 3" xfId="696"/>
    <cellStyle name="20% - Accent6 3 2 3 10" xfId="8240"/>
    <cellStyle name="20% - Accent6 3 2 3 10 2" xfId="31015"/>
    <cellStyle name="20% - Accent6 3 2 3 11" xfId="8896"/>
    <cellStyle name="20% - Accent6 3 2 3 11 2" xfId="31671"/>
    <cellStyle name="20% - Accent6 3 2 3 12" xfId="9552"/>
    <cellStyle name="20% - Accent6 3 2 3 12 2" xfId="32327"/>
    <cellStyle name="20% - Accent6 3 2 3 13" xfId="10208"/>
    <cellStyle name="20% - Accent6 3 2 3 13 2" xfId="32983"/>
    <cellStyle name="20% - Accent6 3 2 3 14" xfId="10864"/>
    <cellStyle name="20% - Accent6 3 2 3 14 2" xfId="33639"/>
    <cellStyle name="20% - Accent6 3 2 3 15" xfId="11520"/>
    <cellStyle name="20% - Accent6 3 2 3 15 2" xfId="34295"/>
    <cellStyle name="20% - Accent6 3 2 3 16" xfId="12176"/>
    <cellStyle name="20% - Accent6 3 2 3 16 2" xfId="34951"/>
    <cellStyle name="20% - Accent6 3 2 3 17" xfId="12832"/>
    <cellStyle name="20% - Accent6 3 2 3 17 2" xfId="35607"/>
    <cellStyle name="20% - Accent6 3 2 3 18" xfId="13488"/>
    <cellStyle name="20% - Accent6 3 2 3 18 2" xfId="36263"/>
    <cellStyle name="20% - Accent6 3 2 3 19" xfId="14144"/>
    <cellStyle name="20% - Accent6 3 2 3 19 2" xfId="36919"/>
    <cellStyle name="20% - Accent6 3 2 3 2" xfId="1352"/>
    <cellStyle name="20% - Accent6 3 2 3 2 2" xfId="3648"/>
    <cellStyle name="20% - Accent6 3 2 3 2 2 2" xfId="26423"/>
    <cellStyle name="20% - Accent6 3 2 3 2 3" xfId="24127"/>
    <cellStyle name="20% - Accent6 3 2 3 20" xfId="14800"/>
    <cellStyle name="20% - Accent6 3 2 3 20 2" xfId="37575"/>
    <cellStyle name="20% - Accent6 3 2 3 21" xfId="15456"/>
    <cellStyle name="20% - Accent6 3 2 3 21 2" xfId="38231"/>
    <cellStyle name="20% - Accent6 3 2 3 22" xfId="16112"/>
    <cellStyle name="20% - Accent6 3 2 3 22 2" xfId="38887"/>
    <cellStyle name="20% - Accent6 3 2 3 23" xfId="16768"/>
    <cellStyle name="20% - Accent6 3 2 3 23 2" xfId="39543"/>
    <cellStyle name="20% - Accent6 3 2 3 24" xfId="17424"/>
    <cellStyle name="20% - Accent6 3 2 3 24 2" xfId="40199"/>
    <cellStyle name="20% - Accent6 3 2 3 25" xfId="18080"/>
    <cellStyle name="20% - Accent6 3 2 3 25 2" xfId="40855"/>
    <cellStyle name="20% - Accent6 3 2 3 26" xfId="18736"/>
    <cellStyle name="20% - Accent6 3 2 3 26 2" xfId="41511"/>
    <cellStyle name="20% - Accent6 3 2 3 27" xfId="19392"/>
    <cellStyle name="20% - Accent6 3 2 3 27 2" xfId="42167"/>
    <cellStyle name="20% - Accent6 3 2 3 28" xfId="20048"/>
    <cellStyle name="20% - Accent6 3 2 3 28 2" xfId="42823"/>
    <cellStyle name="20% - Accent6 3 2 3 29" xfId="20704"/>
    <cellStyle name="20% - Accent6 3 2 3 29 2" xfId="43479"/>
    <cellStyle name="20% - Accent6 3 2 3 3" xfId="2008"/>
    <cellStyle name="20% - Accent6 3 2 3 3 2" xfId="4304"/>
    <cellStyle name="20% - Accent6 3 2 3 3 2 2" xfId="27079"/>
    <cellStyle name="20% - Accent6 3 2 3 3 3" xfId="24783"/>
    <cellStyle name="20% - Accent6 3 2 3 30" xfId="21360"/>
    <cellStyle name="20% - Accent6 3 2 3 30 2" xfId="44135"/>
    <cellStyle name="20% - Accent6 3 2 3 31" xfId="22016"/>
    <cellStyle name="20% - Accent6 3 2 3 31 2" xfId="44791"/>
    <cellStyle name="20% - Accent6 3 2 3 32" xfId="22672"/>
    <cellStyle name="20% - Accent6 3 2 3 32 2" xfId="45447"/>
    <cellStyle name="20% - Accent6 3 2 3 33" xfId="23471"/>
    <cellStyle name="20% - Accent6 3 2 3 4" xfId="4960"/>
    <cellStyle name="20% - Accent6 3 2 3 4 2" xfId="27735"/>
    <cellStyle name="20% - Accent6 3 2 3 5" xfId="5616"/>
    <cellStyle name="20% - Accent6 3 2 3 5 2" xfId="28391"/>
    <cellStyle name="20% - Accent6 3 2 3 6" xfId="6272"/>
    <cellStyle name="20% - Accent6 3 2 3 6 2" xfId="29047"/>
    <cellStyle name="20% - Accent6 3 2 3 7" xfId="2992"/>
    <cellStyle name="20% - Accent6 3 2 3 7 2" xfId="25767"/>
    <cellStyle name="20% - Accent6 3 2 3 8" xfId="6928"/>
    <cellStyle name="20% - Accent6 3 2 3 8 2" xfId="29703"/>
    <cellStyle name="20% - Accent6 3 2 3 9" xfId="7584"/>
    <cellStyle name="20% - Accent6 3 2 3 9 2" xfId="30359"/>
    <cellStyle name="20% - Accent6 3 2 30" xfId="19064"/>
    <cellStyle name="20% - Accent6 3 2 30 2" xfId="41839"/>
    <cellStyle name="20% - Accent6 3 2 31" xfId="19720"/>
    <cellStyle name="20% - Accent6 3 2 31 2" xfId="42495"/>
    <cellStyle name="20% - Accent6 3 2 32" xfId="20376"/>
    <cellStyle name="20% - Accent6 3 2 32 2" xfId="43151"/>
    <cellStyle name="20% - Accent6 3 2 33" xfId="21032"/>
    <cellStyle name="20% - Accent6 3 2 33 2" xfId="43807"/>
    <cellStyle name="20% - Accent6 3 2 34" xfId="21688"/>
    <cellStyle name="20% - Accent6 3 2 34 2" xfId="44463"/>
    <cellStyle name="20% - Accent6 3 2 35" xfId="22344"/>
    <cellStyle name="20% - Accent6 3 2 35 2" xfId="45119"/>
    <cellStyle name="20% - Accent6 3 2 36" xfId="23000"/>
    <cellStyle name="20% - Accent6 3 2 4" xfId="369"/>
    <cellStyle name="20% - Accent6 3 2 4 2" xfId="2664"/>
    <cellStyle name="20% - Accent6 3 2 4 2 2" xfId="25439"/>
    <cellStyle name="20% - Accent6 3 2 4 3" xfId="23143"/>
    <cellStyle name="20% - Accent6 3 2 5" xfId="1024"/>
    <cellStyle name="20% - Accent6 3 2 5 2" xfId="3320"/>
    <cellStyle name="20% - Accent6 3 2 5 2 2" xfId="26095"/>
    <cellStyle name="20% - Accent6 3 2 5 3" xfId="23799"/>
    <cellStyle name="20% - Accent6 3 2 6" xfId="1680"/>
    <cellStyle name="20% - Accent6 3 2 6 2" xfId="3976"/>
    <cellStyle name="20% - Accent6 3 2 6 2 2" xfId="26751"/>
    <cellStyle name="20% - Accent6 3 2 6 3" xfId="24455"/>
    <cellStyle name="20% - Accent6 3 2 7" xfId="4632"/>
    <cellStyle name="20% - Accent6 3 2 7 2" xfId="27407"/>
    <cellStyle name="20% - Accent6 3 2 8" xfId="5288"/>
    <cellStyle name="20% - Accent6 3 2 8 2" xfId="28063"/>
    <cellStyle name="20% - Accent6 3 2 9" xfId="5944"/>
    <cellStyle name="20% - Accent6 3 2 9 2" xfId="28719"/>
    <cellStyle name="20% - Accent6 3 20" xfId="11793"/>
    <cellStyle name="20% - Accent6 3 20 2" xfId="34568"/>
    <cellStyle name="20% - Accent6 3 21" xfId="12449"/>
    <cellStyle name="20% - Accent6 3 21 2" xfId="35224"/>
    <cellStyle name="20% - Accent6 3 22" xfId="13105"/>
    <cellStyle name="20% - Accent6 3 22 2" xfId="35880"/>
    <cellStyle name="20% - Accent6 3 23" xfId="13761"/>
    <cellStyle name="20% - Accent6 3 23 2" xfId="36536"/>
    <cellStyle name="20% - Accent6 3 24" xfId="14417"/>
    <cellStyle name="20% - Accent6 3 24 2" xfId="37192"/>
    <cellStyle name="20% - Accent6 3 25" xfId="15073"/>
    <cellStyle name="20% - Accent6 3 25 2" xfId="37848"/>
    <cellStyle name="20% - Accent6 3 26" xfId="15729"/>
    <cellStyle name="20% - Accent6 3 26 2" xfId="38504"/>
    <cellStyle name="20% - Accent6 3 27" xfId="16385"/>
    <cellStyle name="20% - Accent6 3 27 2" xfId="39160"/>
    <cellStyle name="20% - Accent6 3 28" xfId="17041"/>
    <cellStyle name="20% - Accent6 3 28 2" xfId="39816"/>
    <cellStyle name="20% - Accent6 3 29" xfId="17697"/>
    <cellStyle name="20% - Accent6 3 29 2" xfId="40472"/>
    <cellStyle name="20% - Accent6 3 3" xfId="498"/>
    <cellStyle name="20% - Accent6 3 3 10" xfId="6730"/>
    <cellStyle name="20% - Accent6 3 3 10 2" xfId="29505"/>
    <cellStyle name="20% - Accent6 3 3 11" xfId="7386"/>
    <cellStyle name="20% - Accent6 3 3 11 2" xfId="30161"/>
    <cellStyle name="20% - Accent6 3 3 12" xfId="8042"/>
    <cellStyle name="20% - Accent6 3 3 12 2" xfId="30817"/>
    <cellStyle name="20% - Accent6 3 3 13" xfId="8698"/>
    <cellStyle name="20% - Accent6 3 3 13 2" xfId="31473"/>
    <cellStyle name="20% - Accent6 3 3 14" xfId="9354"/>
    <cellStyle name="20% - Accent6 3 3 14 2" xfId="32129"/>
    <cellStyle name="20% - Accent6 3 3 15" xfId="10010"/>
    <cellStyle name="20% - Accent6 3 3 15 2" xfId="32785"/>
    <cellStyle name="20% - Accent6 3 3 16" xfId="10666"/>
    <cellStyle name="20% - Accent6 3 3 16 2" xfId="33441"/>
    <cellStyle name="20% - Accent6 3 3 17" xfId="11322"/>
    <cellStyle name="20% - Accent6 3 3 17 2" xfId="34097"/>
    <cellStyle name="20% - Accent6 3 3 18" xfId="11978"/>
    <cellStyle name="20% - Accent6 3 3 18 2" xfId="34753"/>
    <cellStyle name="20% - Accent6 3 3 19" xfId="12634"/>
    <cellStyle name="20% - Accent6 3 3 19 2" xfId="35409"/>
    <cellStyle name="20% - Accent6 3 3 2" xfId="826"/>
    <cellStyle name="20% - Accent6 3 3 2 10" xfId="8370"/>
    <cellStyle name="20% - Accent6 3 3 2 10 2" xfId="31145"/>
    <cellStyle name="20% - Accent6 3 3 2 11" xfId="9026"/>
    <cellStyle name="20% - Accent6 3 3 2 11 2" xfId="31801"/>
    <cellStyle name="20% - Accent6 3 3 2 12" xfId="9682"/>
    <cellStyle name="20% - Accent6 3 3 2 12 2" xfId="32457"/>
    <cellStyle name="20% - Accent6 3 3 2 13" xfId="10338"/>
    <cellStyle name="20% - Accent6 3 3 2 13 2" xfId="33113"/>
    <cellStyle name="20% - Accent6 3 3 2 14" xfId="10994"/>
    <cellStyle name="20% - Accent6 3 3 2 14 2" xfId="33769"/>
    <cellStyle name="20% - Accent6 3 3 2 15" xfId="11650"/>
    <cellStyle name="20% - Accent6 3 3 2 15 2" xfId="34425"/>
    <cellStyle name="20% - Accent6 3 3 2 16" xfId="12306"/>
    <cellStyle name="20% - Accent6 3 3 2 16 2" xfId="35081"/>
    <cellStyle name="20% - Accent6 3 3 2 17" xfId="12962"/>
    <cellStyle name="20% - Accent6 3 3 2 17 2" xfId="35737"/>
    <cellStyle name="20% - Accent6 3 3 2 18" xfId="13618"/>
    <cellStyle name="20% - Accent6 3 3 2 18 2" xfId="36393"/>
    <cellStyle name="20% - Accent6 3 3 2 19" xfId="14274"/>
    <cellStyle name="20% - Accent6 3 3 2 19 2" xfId="37049"/>
    <cellStyle name="20% - Accent6 3 3 2 2" xfId="1482"/>
    <cellStyle name="20% - Accent6 3 3 2 2 2" xfId="3778"/>
    <cellStyle name="20% - Accent6 3 3 2 2 2 2" xfId="26553"/>
    <cellStyle name="20% - Accent6 3 3 2 2 3" xfId="24257"/>
    <cellStyle name="20% - Accent6 3 3 2 20" xfId="14930"/>
    <cellStyle name="20% - Accent6 3 3 2 20 2" xfId="37705"/>
    <cellStyle name="20% - Accent6 3 3 2 21" xfId="15586"/>
    <cellStyle name="20% - Accent6 3 3 2 21 2" xfId="38361"/>
    <cellStyle name="20% - Accent6 3 3 2 22" xfId="16242"/>
    <cellStyle name="20% - Accent6 3 3 2 22 2" xfId="39017"/>
    <cellStyle name="20% - Accent6 3 3 2 23" xfId="16898"/>
    <cellStyle name="20% - Accent6 3 3 2 23 2" xfId="39673"/>
    <cellStyle name="20% - Accent6 3 3 2 24" xfId="17554"/>
    <cellStyle name="20% - Accent6 3 3 2 24 2" xfId="40329"/>
    <cellStyle name="20% - Accent6 3 3 2 25" xfId="18210"/>
    <cellStyle name="20% - Accent6 3 3 2 25 2" xfId="40985"/>
    <cellStyle name="20% - Accent6 3 3 2 26" xfId="18866"/>
    <cellStyle name="20% - Accent6 3 3 2 26 2" xfId="41641"/>
    <cellStyle name="20% - Accent6 3 3 2 27" xfId="19522"/>
    <cellStyle name="20% - Accent6 3 3 2 27 2" xfId="42297"/>
    <cellStyle name="20% - Accent6 3 3 2 28" xfId="20178"/>
    <cellStyle name="20% - Accent6 3 3 2 28 2" xfId="42953"/>
    <cellStyle name="20% - Accent6 3 3 2 29" xfId="20834"/>
    <cellStyle name="20% - Accent6 3 3 2 29 2" xfId="43609"/>
    <cellStyle name="20% - Accent6 3 3 2 3" xfId="2138"/>
    <cellStyle name="20% - Accent6 3 3 2 3 2" xfId="4434"/>
    <cellStyle name="20% - Accent6 3 3 2 3 2 2" xfId="27209"/>
    <cellStyle name="20% - Accent6 3 3 2 3 3" xfId="24913"/>
    <cellStyle name="20% - Accent6 3 3 2 30" xfId="21490"/>
    <cellStyle name="20% - Accent6 3 3 2 30 2" xfId="44265"/>
    <cellStyle name="20% - Accent6 3 3 2 31" xfId="22146"/>
    <cellStyle name="20% - Accent6 3 3 2 31 2" xfId="44921"/>
    <cellStyle name="20% - Accent6 3 3 2 32" xfId="22802"/>
    <cellStyle name="20% - Accent6 3 3 2 32 2" xfId="45577"/>
    <cellStyle name="20% - Accent6 3 3 2 33" xfId="23601"/>
    <cellStyle name="20% - Accent6 3 3 2 4" xfId="5090"/>
    <cellStyle name="20% - Accent6 3 3 2 4 2" xfId="27865"/>
    <cellStyle name="20% - Accent6 3 3 2 5" xfId="5746"/>
    <cellStyle name="20% - Accent6 3 3 2 5 2" xfId="28521"/>
    <cellStyle name="20% - Accent6 3 3 2 6" xfId="6402"/>
    <cellStyle name="20% - Accent6 3 3 2 6 2" xfId="29177"/>
    <cellStyle name="20% - Accent6 3 3 2 7" xfId="3122"/>
    <cellStyle name="20% - Accent6 3 3 2 7 2" xfId="25897"/>
    <cellStyle name="20% - Accent6 3 3 2 8" xfId="7058"/>
    <cellStyle name="20% - Accent6 3 3 2 8 2" xfId="29833"/>
    <cellStyle name="20% - Accent6 3 3 2 9" xfId="7714"/>
    <cellStyle name="20% - Accent6 3 3 2 9 2" xfId="30489"/>
    <cellStyle name="20% - Accent6 3 3 20" xfId="13290"/>
    <cellStyle name="20% - Accent6 3 3 20 2" xfId="36065"/>
    <cellStyle name="20% - Accent6 3 3 21" xfId="13946"/>
    <cellStyle name="20% - Accent6 3 3 21 2" xfId="36721"/>
    <cellStyle name="20% - Accent6 3 3 22" xfId="14602"/>
    <cellStyle name="20% - Accent6 3 3 22 2" xfId="37377"/>
    <cellStyle name="20% - Accent6 3 3 23" xfId="15258"/>
    <cellStyle name="20% - Accent6 3 3 23 2" xfId="38033"/>
    <cellStyle name="20% - Accent6 3 3 24" xfId="15914"/>
    <cellStyle name="20% - Accent6 3 3 24 2" xfId="38689"/>
    <cellStyle name="20% - Accent6 3 3 25" xfId="16570"/>
    <cellStyle name="20% - Accent6 3 3 25 2" xfId="39345"/>
    <cellStyle name="20% - Accent6 3 3 26" xfId="17226"/>
    <cellStyle name="20% - Accent6 3 3 26 2" xfId="40001"/>
    <cellStyle name="20% - Accent6 3 3 27" xfId="17882"/>
    <cellStyle name="20% - Accent6 3 3 27 2" xfId="40657"/>
    <cellStyle name="20% - Accent6 3 3 28" xfId="18538"/>
    <cellStyle name="20% - Accent6 3 3 28 2" xfId="41313"/>
    <cellStyle name="20% - Accent6 3 3 29" xfId="19194"/>
    <cellStyle name="20% - Accent6 3 3 29 2" xfId="41969"/>
    <cellStyle name="20% - Accent6 3 3 3" xfId="1154"/>
    <cellStyle name="20% - Accent6 3 3 3 2" xfId="2794"/>
    <cellStyle name="20% - Accent6 3 3 3 2 2" xfId="25569"/>
    <cellStyle name="20% - Accent6 3 3 3 3" xfId="23929"/>
    <cellStyle name="20% - Accent6 3 3 30" xfId="19850"/>
    <cellStyle name="20% - Accent6 3 3 30 2" xfId="42625"/>
    <cellStyle name="20% - Accent6 3 3 31" xfId="20506"/>
    <cellStyle name="20% - Accent6 3 3 31 2" xfId="43281"/>
    <cellStyle name="20% - Accent6 3 3 32" xfId="21162"/>
    <cellStyle name="20% - Accent6 3 3 32 2" xfId="43937"/>
    <cellStyle name="20% - Accent6 3 3 33" xfId="21818"/>
    <cellStyle name="20% - Accent6 3 3 33 2" xfId="44593"/>
    <cellStyle name="20% - Accent6 3 3 34" xfId="22474"/>
    <cellStyle name="20% - Accent6 3 3 34 2" xfId="45249"/>
    <cellStyle name="20% - Accent6 3 3 35" xfId="23273"/>
    <cellStyle name="20% - Accent6 3 3 4" xfId="1810"/>
    <cellStyle name="20% - Accent6 3 3 4 2" xfId="3450"/>
    <cellStyle name="20% - Accent6 3 3 4 2 2" xfId="26225"/>
    <cellStyle name="20% - Accent6 3 3 4 3" xfId="24585"/>
    <cellStyle name="20% - Accent6 3 3 5" xfId="4106"/>
    <cellStyle name="20% - Accent6 3 3 5 2" xfId="26881"/>
    <cellStyle name="20% - Accent6 3 3 6" xfId="4762"/>
    <cellStyle name="20% - Accent6 3 3 6 2" xfId="27537"/>
    <cellStyle name="20% - Accent6 3 3 7" xfId="5418"/>
    <cellStyle name="20% - Accent6 3 3 7 2" xfId="28193"/>
    <cellStyle name="20% - Accent6 3 3 8" xfId="6074"/>
    <cellStyle name="20% - Accent6 3 3 8 2" xfId="28849"/>
    <cellStyle name="20% - Accent6 3 3 9" xfId="2466"/>
    <cellStyle name="20% - Accent6 3 3 9 2" xfId="25241"/>
    <cellStyle name="20% - Accent6 3 30" xfId="18353"/>
    <cellStyle name="20% - Accent6 3 30 2" xfId="41128"/>
    <cellStyle name="20% - Accent6 3 31" xfId="19009"/>
    <cellStyle name="20% - Accent6 3 31 2" xfId="41784"/>
    <cellStyle name="20% - Accent6 3 32" xfId="19665"/>
    <cellStyle name="20% - Accent6 3 32 2" xfId="42440"/>
    <cellStyle name="20% - Accent6 3 33" xfId="20321"/>
    <cellStyle name="20% - Accent6 3 33 2" xfId="43096"/>
    <cellStyle name="20% - Accent6 3 34" xfId="20977"/>
    <cellStyle name="20% - Accent6 3 34 2" xfId="43752"/>
    <cellStyle name="20% - Accent6 3 35" xfId="21633"/>
    <cellStyle name="20% - Accent6 3 35 2" xfId="44408"/>
    <cellStyle name="20% - Accent6 3 36" xfId="22289"/>
    <cellStyle name="20% - Accent6 3 36 2" xfId="45064"/>
    <cellStyle name="20% - Accent6 3 37" xfId="228"/>
    <cellStyle name="20% - Accent6 3 38" xfId="22945"/>
    <cellStyle name="20% - Accent6 3 4" xfId="641"/>
    <cellStyle name="20% - Accent6 3 4 10" xfId="8185"/>
    <cellStyle name="20% - Accent6 3 4 10 2" xfId="30960"/>
    <cellStyle name="20% - Accent6 3 4 11" xfId="8841"/>
    <cellStyle name="20% - Accent6 3 4 11 2" xfId="31616"/>
    <cellStyle name="20% - Accent6 3 4 12" xfId="9497"/>
    <cellStyle name="20% - Accent6 3 4 12 2" xfId="32272"/>
    <cellStyle name="20% - Accent6 3 4 13" xfId="10153"/>
    <cellStyle name="20% - Accent6 3 4 13 2" xfId="32928"/>
    <cellStyle name="20% - Accent6 3 4 14" xfId="10809"/>
    <cellStyle name="20% - Accent6 3 4 14 2" xfId="33584"/>
    <cellStyle name="20% - Accent6 3 4 15" xfId="11465"/>
    <cellStyle name="20% - Accent6 3 4 15 2" xfId="34240"/>
    <cellStyle name="20% - Accent6 3 4 16" xfId="12121"/>
    <cellStyle name="20% - Accent6 3 4 16 2" xfId="34896"/>
    <cellStyle name="20% - Accent6 3 4 17" xfId="12777"/>
    <cellStyle name="20% - Accent6 3 4 17 2" xfId="35552"/>
    <cellStyle name="20% - Accent6 3 4 18" xfId="13433"/>
    <cellStyle name="20% - Accent6 3 4 18 2" xfId="36208"/>
    <cellStyle name="20% - Accent6 3 4 19" xfId="14089"/>
    <cellStyle name="20% - Accent6 3 4 19 2" xfId="36864"/>
    <cellStyle name="20% - Accent6 3 4 2" xfId="1297"/>
    <cellStyle name="20% - Accent6 3 4 2 2" xfId="3593"/>
    <cellStyle name="20% - Accent6 3 4 2 2 2" xfId="26368"/>
    <cellStyle name="20% - Accent6 3 4 2 3" xfId="24072"/>
    <cellStyle name="20% - Accent6 3 4 20" xfId="14745"/>
    <cellStyle name="20% - Accent6 3 4 20 2" xfId="37520"/>
    <cellStyle name="20% - Accent6 3 4 21" xfId="15401"/>
    <cellStyle name="20% - Accent6 3 4 21 2" xfId="38176"/>
    <cellStyle name="20% - Accent6 3 4 22" xfId="16057"/>
    <cellStyle name="20% - Accent6 3 4 22 2" xfId="38832"/>
    <cellStyle name="20% - Accent6 3 4 23" xfId="16713"/>
    <cellStyle name="20% - Accent6 3 4 23 2" xfId="39488"/>
    <cellStyle name="20% - Accent6 3 4 24" xfId="17369"/>
    <cellStyle name="20% - Accent6 3 4 24 2" xfId="40144"/>
    <cellStyle name="20% - Accent6 3 4 25" xfId="18025"/>
    <cellStyle name="20% - Accent6 3 4 25 2" xfId="40800"/>
    <cellStyle name="20% - Accent6 3 4 26" xfId="18681"/>
    <cellStyle name="20% - Accent6 3 4 26 2" xfId="41456"/>
    <cellStyle name="20% - Accent6 3 4 27" xfId="19337"/>
    <cellStyle name="20% - Accent6 3 4 27 2" xfId="42112"/>
    <cellStyle name="20% - Accent6 3 4 28" xfId="19993"/>
    <cellStyle name="20% - Accent6 3 4 28 2" xfId="42768"/>
    <cellStyle name="20% - Accent6 3 4 29" xfId="20649"/>
    <cellStyle name="20% - Accent6 3 4 29 2" xfId="43424"/>
    <cellStyle name="20% - Accent6 3 4 3" xfId="1953"/>
    <cellStyle name="20% - Accent6 3 4 3 2" xfId="4249"/>
    <cellStyle name="20% - Accent6 3 4 3 2 2" xfId="27024"/>
    <cellStyle name="20% - Accent6 3 4 3 3" xfId="24728"/>
    <cellStyle name="20% - Accent6 3 4 30" xfId="21305"/>
    <cellStyle name="20% - Accent6 3 4 30 2" xfId="44080"/>
    <cellStyle name="20% - Accent6 3 4 31" xfId="21961"/>
    <cellStyle name="20% - Accent6 3 4 31 2" xfId="44736"/>
    <cellStyle name="20% - Accent6 3 4 32" xfId="22617"/>
    <cellStyle name="20% - Accent6 3 4 32 2" xfId="45392"/>
    <cellStyle name="20% - Accent6 3 4 33" xfId="23416"/>
    <cellStyle name="20% - Accent6 3 4 4" xfId="4905"/>
    <cellStyle name="20% - Accent6 3 4 4 2" xfId="27680"/>
    <cellStyle name="20% - Accent6 3 4 5" xfId="5561"/>
    <cellStyle name="20% - Accent6 3 4 5 2" xfId="28336"/>
    <cellStyle name="20% - Accent6 3 4 6" xfId="6217"/>
    <cellStyle name="20% - Accent6 3 4 6 2" xfId="28992"/>
    <cellStyle name="20% - Accent6 3 4 7" xfId="2937"/>
    <cellStyle name="20% - Accent6 3 4 7 2" xfId="25712"/>
    <cellStyle name="20% - Accent6 3 4 8" xfId="6873"/>
    <cellStyle name="20% - Accent6 3 4 8 2" xfId="29648"/>
    <cellStyle name="20% - Accent6 3 4 9" xfId="7529"/>
    <cellStyle name="20% - Accent6 3 4 9 2" xfId="30304"/>
    <cellStyle name="20% - Accent6 3 5" xfId="314"/>
    <cellStyle name="20% - Accent6 3 5 2" xfId="2609"/>
    <cellStyle name="20% - Accent6 3 5 2 2" xfId="25384"/>
    <cellStyle name="20% - Accent6 3 5 3" xfId="23088"/>
    <cellStyle name="20% - Accent6 3 6" xfId="969"/>
    <cellStyle name="20% - Accent6 3 6 2" xfId="3265"/>
    <cellStyle name="20% - Accent6 3 6 2 2" xfId="26040"/>
    <cellStyle name="20% - Accent6 3 6 3" xfId="23744"/>
    <cellStyle name="20% - Accent6 3 7" xfId="1625"/>
    <cellStyle name="20% - Accent6 3 7 2" xfId="3921"/>
    <cellStyle name="20% - Accent6 3 7 2 2" xfId="26696"/>
    <cellStyle name="20% - Accent6 3 7 3" xfId="24400"/>
    <cellStyle name="20% - Accent6 3 8" xfId="4577"/>
    <cellStyle name="20% - Accent6 3 8 2" xfId="27352"/>
    <cellStyle name="20% - Accent6 3 9" xfId="5233"/>
    <cellStyle name="20% - Accent6 3 9 2" xfId="28008"/>
    <cellStyle name="20% - Accent6 30" xfId="13730"/>
    <cellStyle name="20% - Accent6 30 2" xfId="36505"/>
    <cellStyle name="20% - Accent6 31" xfId="14386"/>
    <cellStyle name="20% - Accent6 31 2" xfId="37161"/>
    <cellStyle name="20% - Accent6 32" xfId="15042"/>
    <cellStyle name="20% - Accent6 32 2" xfId="37817"/>
    <cellStyle name="20% - Accent6 33" xfId="15698"/>
    <cellStyle name="20% - Accent6 33 2" xfId="38473"/>
    <cellStyle name="20% - Accent6 34" xfId="16354"/>
    <cellStyle name="20% - Accent6 34 2" xfId="39129"/>
    <cellStyle name="20% - Accent6 35" xfId="17010"/>
    <cellStyle name="20% - Accent6 35 2" xfId="39785"/>
    <cellStyle name="20% - Accent6 36" xfId="17666"/>
    <cellStyle name="20% - Accent6 36 2" xfId="40441"/>
    <cellStyle name="20% - Accent6 37" xfId="18322"/>
    <cellStyle name="20% - Accent6 37 2" xfId="41097"/>
    <cellStyle name="20% - Accent6 38" xfId="18978"/>
    <cellStyle name="20% - Accent6 38 2" xfId="41753"/>
    <cellStyle name="20% - Accent6 39" xfId="19634"/>
    <cellStyle name="20% - Accent6 39 2" xfId="42409"/>
    <cellStyle name="20% - Accent6 4" xfId="97"/>
    <cellStyle name="20% - Accent6 4 10" xfId="5903"/>
    <cellStyle name="20% - Accent6 4 10 2" xfId="28678"/>
    <cellStyle name="20% - Accent6 4 11" xfId="2295"/>
    <cellStyle name="20% - Accent6 4 11 2" xfId="25070"/>
    <cellStyle name="20% - Accent6 4 12" xfId="6559"/>
    <cellStyle name="20% - Accent6 4 12 2" xfId="29334"/>
    <cellStyle name="20% - Accent6 4 13" xfId="7215"/>
    <cellStyle name="20% - Accent6 4 13 2" xfId="29990"/>
    <cellStyle name="20% - Accent6 4 14" xfId="7871"/>
    <cellStyle name="20% - Accent6 4 14 2" xfId="30646"/>
    <cellStyle name="20% - Accent6 4 15" xfId="8527"/>
    <cellStyle name="20% - Accent6 4 15 2" xfId="31302"/>
    <cellStyle name="20% - Accent6 4 16" xfId="9183"/>
    <cellStyle name="20% - Accent6 4 16 2" xfId="31958"/>
    <cellStyle name="20% - Accent6 4 17" xfId="9839"/>
    <cellStyle name="20% - Accent6 4 17 2" xfId="32614"/>
    <cellStyle name="20% - Accent6 4 18" xfId="10495"/>
    <cellStyle name="20% - Accent6 4 18 2" xfId="33270"/>
    <cellStyle name="20% - Accent6 4 19" xfId="11151"/>
    <cellStyle name="20% - Accent6 4 19 2" xfId="33926"/>
    <cellStyle name="20% - Accent6 4 2" xfId="168"/>
    <cellStyle name="20% - Accent6 4 2 10" xfId="2366"/>
    <cellStyle name="20% - Accent6 4 2 10 2" xfId="25141"/>
    <cellStyle name="20% - Accent6 4 2 11" xfId="6630"/>
    <cellStyle name="20% - Accent6 4 2 11 2" xfId="29405"/>
    <cellStyle name="20% - Accent6 4 2 12" xfId="7286"/>
    <cellStyle name="20% - Accent6 4 2 12 2" xfId="30061"/>
    <cellStyle name="20% - Accent6 4 2 13" xfId="7942"/>
    <cellStyle name="20% - Accent6 4 2 13 2" xfId="30717"/>
    <cellStyle name="20% - Accent6 4 2 14" xfId="8598"/>
    <cellStyle name="20% - Accent6 4 2 14 2" xfId="31373"/>
    <cellStyle name="20% - Accent6 4 2 15" xfId="9254"/>
    <cellStyle name="20% - Accent6 4 2 15 2" xfId="32029"/>
    <cellStyle name="20% - Accent6 4 2 16" xfId="9910"/>
    <cellStyle name="20% - Accent6 4 2 16 2" xfId="32685"/>
    <cellStyle name="20% - Accent6 4 2 17" xfId="10566"/>
    <cellStyle name="20% - Accent6 4 2 17 2" xfId="33341"/>
    <cellStyle name="20% - Accent6 4 2 18" xfId="11222"/>
    <cellStyle name="20% - Accent6 4 2 18 2" xfId="33997"/>
    <cellStyle name="20% - Accent6 4 2 19" xfId="11878"/>
    <cellStyle name="20% - Accent6 4 2 19 2" xfId="34653"/>
    <cellStyle name="20% - Accent6 4 2 2" xfId="582"/>
    <cellStyle name="20% - Accent6 4 2 2 10" xfId="6815"/>
    <cellStyle name="20% - Accent6 4 2 2 10 2" xfId="29590"/>
    <cellStyle name="20% - Accent6 4 2 2 11" xfId="7471"/>
    <cellStyle name="20% - Accent6 4 2 2 11 2" xfId="30246"/>
    <cellStyle name="20% - Accent6 4 2 2 12" xfId="8127"/>
    <cellStyle name="20% - Accent6 4 2 2 12 2" xfId="30902"/>
    <cellStyle name="20% - Accent6 4 2 2 13" xfId="8783"/>
    <cellStyle name="20% - Accent6 4 2 2 13 2" xfId="31558"/>
    <cellStyle name="20% - Accent6 4 2 2 14" xfId="9439"/>
    <cellStyle name="20% - Accent6 4 2 2 14 2" xfId="32214"/>
    <cellStyle name="20% - Accent6 4 2 2 15" xfId="10095"/>
    <cellStyle name="20% - Accent6 4 2 2 15 2" xfId="32870"/>
    <cellStyle name="20% - Accent6 4 2 2 16" xfId="10751"/>
    <cellStyle name="20% - Accent6 4 2 2 16 2" xfId="33526"/>
    <cellStyle name="20% - Accent6 4 2 2 17" xfId="11407"/>
    <cellStyle name="20% - Accent6 4 2 2 17 2" xfId="34182"/>
    <cellStyle name="20% - Accent6 4 2 2 18" xfId="12063"/>
    <cellStyle name="20% - Accent6 4 2 2 18 2" xfId="34838"/>
    <cellStyle name="20% - Accent6 4 2 2 19" xfId="12719"/>
    <cellStyle name="20% - Accent6 4 2 2 19 2" xfId="35494"/>
    <cellStyle name="20% - Accent6 4 2 2 2" xfId="911"/>
    <cellStyle name="20% - Accent6 4 2 2 2 10" xfId="8455"/>
    <cellStyle name="20% - Accent6 4 2 2 2 10 2" xfId="31230"/>
    <cellStyle name="20% - Accent6 4 2 2 2 11" xfId="9111"/>
    <cellStyle name="20% - Accent6 4 2 2 2 11 2" xfId="31886"/>
    <cellStyle name="20% - Accent6 4 2 2 2 12" xfId="9767"/>
    <cellStyle name="20% - Accent6 4 2 2 2 12 2" xfId="32542"/>
    <cellStyle name="20% - Accent6 4 2 2 2 13" xfId="10423"/>
    <cellStyle name="20% - Accent6 4 2 2 2 13 2" xfId="33198"/>
    <cellStyle name="20% - Accent6 4 2 2 2 14" xfId="11079"/>
    <cellStyle name="20% - Accent6 4 2 2 2 14 2" xfId="33854"/>
    <cellStyle name="20% - Accent6 4 2 2 2 15" xfId="11735"/>
    <cellStyle name="20% - Accent6 4 2 2 2 15 2" xfId="34510"/>
    <cellStyle name="20% - Accent6 4 2 2 2 16" xfId="12391"/>
    <cellStyle name="20% - Accent6 4 2 2 2 16 2" xfId="35166"/>
    <cellStyle name="20% - Accent6 4 2 2 2 17" xfId="13047"/>
    <cellStyle name="20% - Accent6 4 2 2 2 17 2" xfId="35822"/>
    <cellStyle name="20% - Accent6 4 2 2 2 18" xfId="13703"/>
    <cellStyle name="20% - Accent6 4 2 2 2 18 2" xfId="36478"/>
    <cellStyle name="20% - Accent6 4 2 2 2 19" xfId="14359"/>
    <cellStyle name="20% - Accent6 4 2 2 2 19 2" xfId="37134"/>
    <cellStyle name="20% - Accent6 4 2 2 2 2" xfId="1567"/>
    <cellStyle name="20% - Accent6 4 2 2 2 2 2" xfId="3863"/>
    <cellStyle name="20% - Accent6 4 2 2 2 2 2 2" xfId="26638"/>
    <cellStyle name="20% - Accent6 4 2 2 2 2 3" xfId="24342"/>
    <cellStyle name="20% - Accent6 4 2 2 2 20" xfId="15015"/>
    <cellStyle name="20% - Accent6 4 2 2 2 20 2" xfId="37790"/>
    <cellStyle name="20% - Accent6 4 2 2 2 21" xfId="15671"/>
    <cellStyle name="20% - Accent6 4 2 2 2 21 2" xfId="38446"/>
    <cellStyle name="20% - Accent6 4 2 2 2 22" xfId="16327"/>
    <cellStyle name="20% - Accent6 4 2 2 2 22 2" xfId="39102"/>
    <cellStyle name="20% - Accent6 4 2 2 2 23" xfId="16983"/>
    <cellStyle name="20% - Accent6 4 2 2 2 23 2" xfId="39758"/>
    <cellStyle name="20% - Accent6 4 2 2 2 24" xfId="17639"/>
    <cellStyle name="20% - Accent6 4 2 2 2 24 2" xfId="40414"/>
    <cellStyle name="20% - Accent6 4 2 2 2 25" xfId="18295"/>
    <cellStyle name="20% - Accent6 4 2 2 2 25 2" xfId="41070"/>
    <cellStyle name="20% - Accent6 4 2 2 2 26" xfId="18951"/>
    <cellStyle name="20% - Accent6 4 2 2 2 26 2" xfId="41726"/>
    <cellStyle name="20% - Accent6 4 2 2 2 27" xfId="19607"/>
    <cellStyle name="20% - Accent6 4 2 2 2 27 2" xfId="42382"/>
    <cellStyle name="20% - Accent6 4 2 2 2 28" xfId="20263"/>
    <cellStyle name="20% - Accent6 4 2 2 2 28 2" xfId="43038"/>
    <cellStyle name="20% - Accent6 4 2 2 2 29" xfId="20919"/>
    <cellStyle name="20% - Accent6 4 2 2 2 29 2" xfId="43694"/>
    <cellStyle name="20% - Accent6 4 2 2 2 3" xfId="2223"/>
    <cellStyle name="20% - Accent6 4 2 2 2 3 2" xfId="4519"/>
    <cellStyle name="20% - Accent6 4 2 2 2 3 2 2" xfId="27294"/>
    <cellStyle name="20% - Accent6 4 2 2 2 3 3" xfId="24998"/>
    <cellStyle name="20% - Accent6 4 2 2 2 30" xfId="21575"/>
    <cellStyle name="20% - Accent6 4 2 2 2 30 2" xfId="44350"/>
    <cellStyle name="20% - Accent6 4 2 2 2 31" xfId="22231"/>
    <cellStyle name="20% - Accent6 4 2 2 2 31 2" xfId="45006"/>
    <cellStyle name="20% - Accent6 4 2 2 2 32" xfId="22887"/>
    <cellStyle name="20% - Accent6 4 2 2 2 32 2" xfId="45662"/>
    <cellStyle name="20% - Accent6 4 2 2 2 33" xfId="23686"/>
    <cellStyle name="20% - Accent6 4 2 2 2 4" xfId="5175"/>
    <cellStyle name="20% - Accent6 4 2 2 2 4 2" xfId="27950"/>
    <cellStyle name="20% - Accent6 4 2 2 2 5" xfId="5831"/>
    <cellStyle name="20% - Accent6 4 2 2 2 5 2" xfId="28606"/>
    <cellStyle name="20% - Accent6 4 2 2 2 6" xfId="6487"/>
    <cellStyle name="20% - Accent6 4 2 2 2 6 2" xfId="29262"/>
    <cellStyle name="20% - Accent6 4 2 2 2 7" xfId="3207"/>
    <cellStyle name="20% - Accent6 4 2 2 2 7 2" xfId="25982"/>
    <cellStyle name="20% - Accent6 4 2 2 2 8" xfId="7143"/>
    <cellStyle name="20% - Accent6 4 2 2 2 8 2" xfId="29918"/>
    <cellStyle name="20% - Accent6 4 2 2 2 9" xfId="7799"/>
    <cellStyle name="20% - Accent6 4 2 2 2 9 2" xfId="30574"/>
    <cellStyle name="20% - Accent6 4 2 2 20" xfId="13375"/>
    <cellStyle name="20% - Accent6 4 2 2 20 2" xfId="36150"/>
    <cellStyle name="20% - Accent6 4 2 2 21" xfId="14031"/>
    <cellStyle name="20% - Accent6 4 2 2 21 2" xfId="36806"/>
    <cellStyle name="20% - Accent6 4 2 2 22" xfId="14687"/>
    <cellStyle name="20% - Accent6 4 2 2 22 2" xfId="37462"/>
    <cellStyle name="20% - Accent6 4 2 2 23" xfId="15343"/>
    <cellStyle name="20% - Accent6 4 2 2 23 2" xfId="38118"/>
    <cellStyle name="20% - Accent6 4 2 2 24" xfId="15999"/>
    <cellStyle name="20% - Accent6 4 2 2 24 2" xfId="38774"/>
    <cellStyle name="20% - Accent6 4 2 2 25" xfId="16655"/>
    <cellStyle name="20% - Accent6 4 2 2 25 2" xfId="39430"/>
    <cellStyle name="20% - Accent6 4 2 2 26" xfId="17311"/>
    <cellStyle name="20% - Accent6 4 2 2 26 2" xfId="40086"/>
    <cellStyle name="20% - Accent6 4 2 2 27" xfId="17967"/>
    <cellStyle name="20% - Accent6 4 2 2 27 2" xfId="40742"/>
    <cellStyle name="20% - Accent6 4 2 2 28" xfId="18623"/>
    <cellStyle name="20% - Accent6 4 2 2 28 2" xfId="41398"/>
    <cellStyle name="20% - Accent6 4 2 2 29" xfId="19279"/>
    <cellStyle name="20% - Accent6 4 2 2 29 2" xfId="42054"/>
    <cellStyle name="20% - Accent6 4 2 2 3" xfId="1239"/>
    <cellStyle name="20% - Accent6 4 2 2 3 2" xfId="2879"/>
    <cellStyle name="20% - Accent6 4 2 2 3 2 2" xfId="25654"/>
    <cellStyle name="20% - Accent6 4 2 2 3 3" xfId="24014"/>
    <cellStyle name="20% - Accent6 4 2 2 30" xfId="19935"/>
    <cellStyle name="20% - Accent6 4 2 2 30 2" xfId="42710"/>
    <cellStyle name="20% - Accent6 4 2 2 31" xfId="20591"/>
    <cellStyle name="20% - Accent6 4 2 2 31 2" xfId="43366"/>
    <cellStyle name="20% - Accent6 4 2 2 32" xfId="21247"/>
    <cellStyle name="20% - Accent6 4 2 2 32 2" xfId="44022"/>
    <cellStyle name="20% - Accent6 4 2 2 33" xfId="21903"/>
    <cellStyle name="20% - Accent6 4 2 2 33 2" xfId="44678"/>
    <cellStyle name="20% - Accent6 4 2 2 34" xfId="22559"/>
    <cellStyle name="20% - Accent6 4 2 2 34 2" xfId="45334"/>
    <cellStyle name="20% - Accent6 4 2 2 35" xfId="23358"/>
    <cellStyle name="20% - Accent6 4 2 2 4" xfId="1895"/>
    <cellStyle name="20% - Accent6 4 2 2 4 2" xfId="3535"/>
    <cellStyle name="20% - Accent6 4 2 2 4 2 2" xfId="26310"/>
    <cellStyle name="20% - Accent6 4 2 2 4 3" xfId="24670"/>
    <cellStyle name="20% - Accent6 4 2 2 5" xfId="4191"/>
    <cellStyle name="20% - Accent6 4 2 2 5 2" xfId="26966"/>
    <cellStyle name="20% - Accent6 4 2 2 6" xfId="4847"/>
    <cellStyle name="20% - Accent6 4 2 2 6 2" xfId="27622"/>
    <cellStyle name="20% - Accent6 4 2 2 7" xfId="5503"/>
    <cellStyle name="20% - Accent6 4 2 2 7 2" xfId="28278"/>
    <cellStyle name="20% - Accent6 4 2 2 8" xfId="6159"/>
    <cellStyle name="20% - Accent6 4 2 2 8 2" xfId="28934"/>
    <cellStyle name="20% - Accent6 4 2 2 9" xfId="2551"/>
    <cellStyle name="20% - Accent6 4 2 2 9 2" xfId="25326"/>
    <cellStyle name="20% - Accent6 4 2 20" xfId="12534"/>
    <cellStyle name="20% - Accent6 4 2 20 2" xfId="35309"/>
    <cellStyle name="20% - Accent6 4 2 21" xfId="13190"/>
    <cellStyle name="20% - Accent6 4 2 21 2" xfId="35965"/>
    <cellStyle name="20% - Accent6 4 2 22" xfId="13846"/>
    <cellStyle name="20% - Accent6 4 2 22 2" xfId="36621"/>
    <cellStyle name="20% - Accent6 4 2 23" xfId="14502"/>
    <cellStyle name="20% - Accent6 4 2 23 2" xfId="37277"/>
    <cellStyle name="20% - Accent6 4 2 24" xfId="15158"/>
    <cellStyle name="20% - Accent6 4 2 24 2" xfId="37933"/>
    <cellStyle name="20% - Accent6 4 2 25" xfId="15814"/>
    <cellStyle name="20% - Accent6 4 2 25 2" xfId="38589"/>
    <cellStyle name="20% - Accent6 4 2 26" xfId="16470"/>
    <cellStyle name="20% - Accent6 4 2 26 2" xfId="39245"/>
    <cellStyle name="20% - Accent6 4 2 27" xfId="17126"/>
    <cellStyle name="20% - Accent6 4 2 27 2" xfId="39901"/>
    <cellStyle name="20% - Accent6 4 2 28" xfId="17782"/>
    <cellStyle name="20% - Accent6 4 2 28 2" xfId="40557"/>
    <cellStyle name="20% - Accent6 4 2 29" xfId="18438"/>
    <cellStyle name="20% - Accent6 4 2 29 2" xfId="41213"/>
    <cellStyle name="20% - Accent6 4 2 3" xfId="726"/>
    <cellStyle name="20% - Accent6 4 2 3 10" xfId="8270"/>
    <cellStyle name="20% - Accent6 4 2 3 10 2" xfId="31045"/>
    <cellStyle name="20% - Accent6 4 2 3 11" xfId="8926"/>
    <cellStyle name="20% - Accent6 4 2 3 11 2" xfId="31701"/>
    <cellStyle name="20% - Accent6 4 2 3 12" xfId="9582"/>
    <cellStyle name="20% - Accent6 4 2 3 12 2" xfId="32357"/>
    <cellStyle name="20% - Accent6 4 2 3 13" xfId="10238"/>
    <cellStyle name="20% - Accent6 4 2 3 13 2" xfId="33013"/>
    <cellStyle name="20% - Accent6 4 2 3 14" xfId="10894"/>
    <cellStyle name="20% - Accent6 4 2 3 14 2" xfId="33669"/>
    <cellStyle name="20% - Accent6 4 2 3 15" xfId="11550"/>
    <cellStyle name="20% - Accent6 4 2 3 15 2" xfId="34325"/>
    <cellStyle name="20% - Accent6 4 2 3 16" xfId="12206"/>
    <cellStyle name="20% - Accent6 4 2 3 16 2" xfId="34981"/>
    <cellStyle name="20% - Accent6 4 2 3 17" xfId="12862"/>
    <cellStyle name="20% - Accent6 4 2 3 17 2" xfId="35637"/>
    <cellStyle name="20% - Accent6 4 2 3 18" xfId="13518"/>
    <cellStyle name="20% - Accent6 4 2 3 18 2" xfId="36293"/>
    <cellStyle name="20% - Accent6 4 2 3 19" xfId="14174"/>
    <cellStyle name="20% - Accent6 4 2 3 19 2" xfId="36949"/>
    <cellStyle name="20% - Accent6 4 2 3 2" xfId="1382"/>
    <cellStyle name="20% - Accent6 4 2 3 2 2" xfId="3678"/>
    <cellStyle name="20% - Accent6 4 2 3 2 2 2" xfId="26453"/>
    <cellStyle name="20% - Accent6 4 2 3 2 3" xfId="24157"/>
    <cellStyle name="20% - Accent6 4 2 3 20" xfId="14830"/>
    <cellStyle name="20% - Accent6 4 2 3 20 2" xfId="37605"/>
    <cellStyle name="20% - Accent6 4 2 3 21" xfId="15486"/>
    <cellStyle name="20% - Accent6 4 2 3 21 2" xfId="38261"/>
    <cellStyle name="20% - Accent6 4 2 3 22" xfId="16142"/>
    <cellStyle name="20% - Accent6 4 2 3 22 2" xfId="38917"/>
    <cellStyle name="20% - Accent6 4 2 3 23" xfId="16798"/>
    <cellStyle name="20% - Accent6 4 2 3 23 2" xfId="39573"/>
    <cellStyle name="20% - Accent6 4 2 3 24" xfId="17454"/>
    <cellStyle name="20% - Accent6 4 2 3 24 2" xfId="40229"/>
    <cellStyle name="20% - Accent6 4 2 3 25" xfId="18110"/>
    <cellStyle name="20% - Accent6 4 2 3 25 2" xfId="40885"/>
    <cellStyle name="20% - Accent6 4 2 3 26" xfId="18766"/>
    <cellStyle name="20% - Accent6 4 2 3 26 2" xfId="41541"/>
    <cellStyle name="20% - Accent6 4 2 3 27" xfId="19422"/>
    <cellStyle name="20% - Accent6 4 2 3 27 2" xfId="42197"/>
    <cellStyle name="20% - Accent6 4 2 3 28" xfId="20078"/>
    <cellStyle name="20% - Accent6 4 2 3 28 2" xfId="42853"/>
    <cellStyle name="20% - Accent6 4 2 3 29" xfId="20734"/>
    <cellStyle name="20% - Accent6 4 2 3 29 2" xfId="43509"/>
    <cellStyle name="20% - Accent6 4 2 3 3" xfId="2038"/>
    <cellStyle name="20% - Accent6 4 2 3 3 2" xfId="4334"/>
    <cellStyle name="20% - Accent6 4 2 3 3 2 2" xfId="27109"/>
    <cellStyle name="20% - Accent6 4 2 3 3 3" xfId="24813"/>
    <cellStyle name="20% - Accent6 4 2 3 30" xfId="21390"/>
    <cellStyle name="20% - Accent6 4 2 3 30 2" xfId="44165"/>
    <cellStyle name="20% - Accent6 4 2 3 31" xfId="22046"/>
    <cellStyle name="20% - Accent6 4 2 3 31 2" xfId="44821"/>
    <cellStyle name="20% - Accent6 4 2 3 32" xfId="22702"/>
    <cellStyle name="20% - Accent6 4 2 3 32 2" xfId="45477"/>
    <cellStyle name="20% - Accent6 4 2 3 33" xfId="23501"/>
    <cellStyle name="20% - Accent6 4 2 3 4" xfId="4990"/>
    <cellStyle name="20% - Accent6 4 2 3 4 2" xfId="27765"/>
    <cellStyle name="20% - Accent6 4 2 3 5" xfId="5646"/>
    <cellStyle name="20% - Accent6 4 2 3 5 2" xfId="28421"/>
    <cellStyle name="20% - Accent6 4 2 3 6" xfId="6302"/>
    <cellStyle name="20% - Accent6 4 2 3 6 2" xfId="29077"/>
    <cellStyle name="20% - Accent6 4 2 3 7" xfId="3022"/>
    <cellStyle name="20% - Accent6 4 2 3 7 2" xfId="25797"/>
    <cellStyle name="20% - Accent6 4 2 3 8" xfId="6958"/>
    <cellStyle name="20% - Accent6 4 2 3 8 2" xfId="29733"/>
    <cellStyle name="20% - Accent6 4 2 3 9" xfId="7614"/>
    <cellStyle name="20% - Accent6 4 2 3 9 2" xfId="30389"/>
    <cellStyle name="20% - Accent6 4 2 30" xfId="19094"/>
    <cellStyle name="20% - Accent6 4 2 30 2" xfId="41869"/>
    <cellStyle name="20% - Accent6 4 2 31" xfId="19750"/>
    <cellStyle name="20% - Accent6 4 2 31 2" xfId="42525"/>
    <cellStyle name="20% - Accent6 4 2 32" xfId="20406"/>
    <cellStyle name="20% - Accent6 4 2 32 2" xfId="43181"/>
    <cellStyle name="20% - Accent6 4 2 33" xfId="21062"/>
    <cellStyle name="20% - Accent6 4 2 33 2" xfId="43837"/>
    <cellStyle name="20% - Accent6 4 2 34" xfId="21718"/>
    <cellStyle name="20% - Accent6 4 2 34 2" xfId="44493"/>
    <cellStyle name="20% - Accent6 4 2 35" xfId="22374"/>
    <cellStyle name="20% - Accent6 4 2 35 2" xfId="45149"/>
    <cellStyle name="20% - Accent6 4 2 36" xfId="23030"/>
    <cellStyle name="20% - Accent6 4 2 4" xfId="399"/>
    <cellStyle name="20% - Accent6 4 2 4 2" xfId="2694"/>
    <cellStyle name="20% - Accent6 4 2 4 2 2" xfId="25469"/>
    <cellStyle name="20% - Accent6 4 2 4 3" xfId="23173"/>
    <cellStyle name="20% - Accent6 4 2 5" xfId="1054"/>
    <cellStyle name="20% - Accent6 4 2 5 2" xfId="3350"/>
    <cellStyle name="20% - Accent6 4 2 5 2 2" xfId="26125"/>
    <cellStyle name="20% - Accent6 4 2 5 3" xfId="23829"/>
    <cellStyle name="20% - Accent6 4 2 6" xfId="1710"/>
    <cellStyle name="20% - Accent6 4 2 6 2" xfId="4006"/>
    <cellStyle name="20% - Accent6 4 2 6 2 2" xfId="26781"/>
    <cellStyle name="20% - Accent6 4 2 6 3" xfId="24485"/>
    <cellStyle name="20% - Accent6 4 2 7" xfId="4662"/>
    <cellStyle name="20% - Accent6 4 2 7 2" xfId="27437"/>
    <cellStyle name="20% - Accent6 4 2 8" xfId="5318"/>
    <cellStyle name="20% - Accent6 4 2 8 2" xfId="28093"/>
    <cellStyle name="20% - Accent6 4 2 9" xfId="5974"/>
    <cellStyle name="20% - Accent6 4 2 9 2" xfId="28749"/>
    <cellStyle name="20% - Accent6 4 20" xfId="11807"/>
    <cellStyle name="20% - Accent6 4 20 2" xfId="34582"/>
    <cellStyle name="20% - Accent6 4 21" xfId="12463"/>
    <cellStyle name="20% - Accent6 4 21 2" xfId="35238"/>
    <cellStyle name="20% - Accent6 4 22" xfId="13119"/>
    <cellStyle name="20% - Accent6 4 22 2" xfId="35894"/>
    <cellStyle name="20% - Accent6 4 23" xfId="13775"/>
    <cellStyle name="20% - Accent6 4 23 2" xfId="36550"/>
    <cellStyle name="20% - Accent6 4 24" xfId="14431"/>
    <cellStyle name="20% - Accent6 4 24 2" xfId="37206"/>
    <cellStyle name="20% - Accent6 4 25" xfId="15087"/>
    <cellStyle name="20% - Accent6 4 25 2" xfId="37862"/>
    <cellStyle name="20% - Accent6 4 26" xfId="15743"/>
    <cellStyle name="20% - Accent6 4 26 2" xfId="38518"/>
    <cellStyle name="20% - Accent6 4 27" xfId="16399"/>
    <cellStyle name="20% - Accent6 4 27 2" xfId="39174"/>
    <cellStyle name="20% - Accent6 4 28" xfId="17055"/>
    <cellStyle name="20% - Accent6 4 28 2" xfId="39830"/>
    <cellStyle name="20% - Accent6 4 29" xfId="17711"/>
    <cellStyle name="20% - Accent6 4 29 2" xfId="40486"/>
    <cellStyle name="20% - Accent6 4 3" xfId="512"/>
    <cellStyle name="20% - Accent6 4 3 10" xfId="6744"/>
    <cellStyle name="20% - Accent6 4 3 10 2" xfId="29519"/>
    <cellStyle name="20% - Accent6 4 3 11" xfId="7400"/>
    <cellStyle name="20% - Accent6 4 3 11 2" xfId="30175"/>
    <cellStyle name="20% - Accent6 4 3 12" xfId="8056"/>
    <cellStyle name="20% - Accent6 4 3 12 2" xfId="30831"/>
    <cellStyle name="20% - Accent6 4 3 13" xfId="8712"/>
    <cellStyle name="20% - Accent6 4 3 13 2" xfId="31487"/>
    <cellStyle name="20% - Accent6 4 3 14" xfId="9368"/>
    <cellStyle name="20% - Accent6 4 3 14 2" xfId="32143"/>
    <cellStyle name="20% - Accent6 4 3 15" xfId="10024"/>
    <cellStyle name="20% - Accent6 4 3 15 2" xfId="32799"/>
    <cellStyle name="20% - Accent6 4 3 16" xfId="10680"/>
    <cellStyle name="20% - Accent6 4 3 16 2" xfId="33455"/>
    <cellStyle name="20% - Accent6 4 3 17" xfId="11336"/>
    <cellStyle name="20% - Accent6 4 3 17 2" xfId="34111"/>
    <cellStyle name="20% - Accent6 4 3 18" xfId="11992"/>
    <cellStyle name="20% - Accent6 4 3 18 2" xfId="34767"/>
    <cellStyle name="20% - Accent6 4 3 19" xfId="12648"/>
    <cellStyle name="20% - Accent6 4 3 19 2" xfId="35423"/>
    <cellStyle name="20% - Accent6 4 3 2" xfId="840"/>
    <cellStyle name="20% - Accent6 4 3 2 10" xfId="8384"/>
    <cellStyle name="20% - Accent6 4 3 2 10 2" xfId="31159"/>
    <cellStyle name="20% - Accent6 4 3 2 11" xfId="9040"/>
    <cellStyle name="20% - Accent6 4 3 2 11 2" xfId="31815"/>
    <cellStyle name="20% - Accent6 4 3 2 12" xfId="9696"/>
    <cellStyle name="20% - Accent6 4 3 2 12 2" xfId="32471"/>
    <cellStyle name="20% - Accent6 4 3 2 13" xfId="10352"/>
    <cellStyle name="20% - Accent6 4 3 2 13 2" xfId="33127"/>
    <cellStyle name="20% - Accent6 4 3 2 14" xfId="11008"/>
    <cellStyle name="20% - Accent6 4 3 2 14 2" xfId="33783"/>
    <cellStyle name="20% - Accent6 4 3 2 15" xfId="11664"/>
    <cellStyle name="20% - Accent6 4 3 2 15 2" xfId="34439"/>
    <cellStyle name="20% - Accent6 4 3 2 16" xfId="12320"/>
    <cellStyle name="20% - Accent6 4 3 2 16 2" xfId="35095"/>
    <cellStyle name="20% - Accent6 4 3 2 17" xfId="12976"/>
    <cellStyle name="20% - Accent6 4 3 2 17 2" xfId="35751"/>
    <cellStyle name="20% - Accent6 4 3 2 18" xfId="13632"/>
    <cellStyle name="20% - Accent6 4 3 2 18 2" xfId="36407"/>
    <cellStyle name="20% - Accent6 4 3 2 19" xfId="14288"/>
    <cellStyle name="20% - Accent6 4 3 2 19 2" xfId="37063"/>
    <cellStyle name="20% - Accent6 4 3 2 2" xfId="1496"/>
    <cellStyle name="20% - Accent6 4 3 2 2 2" xfId="3792"/>
    <cellStyle name="20% - Accent6 4 3 2 2 2 2" xfId="26567"/>
    <cellStyle name="20% - Accent6 4 3 2 2 3" xfId="24271"/>
    <cellStyle name="20% - Accent6 4 3 2 20" xfId="14944"/>
    <cellStyle name="20% - Accent6 4 3 2 20 2" xfId="37719"/>
    <cellStyle name="20% - Accent6 4 3 2 21" xfId="15600"/>
    <cellStyle name="20% - Accent6 4 3 2 21 2" xfId="38375"/>
    <cellStyle name="20% - Accent6 4 3 2 22" xfId="16256"/>
    <cellStyle name="20% - Accent6 4 3 2 22 2" xfId="39031"/>
    <cellStyle name="20% - Accent6 4 3 2 23" xfId="16912"/>
    <cellStyle name="20% - Accent6 4 3 2 23 2" xfId="39687"/>
    <cellStyle name="20% - Accent6 4 3 2 24" xfId="17568"/>
    <cellStyle name="20% - Accent6 4 3 2 24 2" xfId="40343"/>
    <cellStyle name="20% - Accent6 4 3 2 25" xfId="18224"/>
    <cellStyle name="20% - Accent6 4 3 2 25 2" xfId="40999"/>
    <cellStyle name="20% - Accent6 4 3 2 26" xfId="18880"/>
    <cellStyle name="20% - Accent6 4 3 2 26 2" xfId="41655"/>
    <cellStyle name="20% - Accent6 4 3 2 27" xfId="19536"/>
    <cellStyle name="20% - Accent6 4 3 2 27 2" xfId="42311"/>
    <cellStyle name="20% - Accent6 4 3 2 28" xfId="20192"/>
    <cellStyle name="20% - Accent6 4 3 2 28 2" xfId="42967"/>
    <cellStyle name="20% - Accent6 4 3 2 29" xfId="20848"/>
    <cellStyle name="20% - Accent6 4 3 2 29 2" xfId="43623"/>
    <cellStyle name="20% - Accent6 4 3 2 3" xfId="2152"/>
    <cellStyle name="20% - Accent6 4 3 2 3 2" xfId="4448"/>
    <cellStyle name="20% - Accent6 4 3 2 3 2 2" xfId="27223"/>
    <cellStyle name="20% - Accent6 4 3 2 3 3" xfId="24927"/>
    <cellStyle name="20% - Accent6 4 3 2 30" xfId="21504"/>
    <cellStyle name="20% - Accent6 4 3 2 30 2" xfId="44279"/>
    <cellStyle name="20% - Accent6 4 3 2 31" xfId="22160"/>
    <cellStyle name="20% - Accent6 4 3 2 31 2" xfId="44935"/>
    <cellStyle name="20% - Accent6 4 3 2 32" xfId="22816"/>
    <cellStyle name="20% - Accent6 4 3 2 32 2" xfId="45591"/>
    <cellStyle name="20% - Accent6 4 3 2 33" xfId="23615"/>
    <cellStyle name="20% - Accent6 4 3 2 4" xfId="5104"/>
    <cellStyle name="20% - Accent6 4 3 2 4 2" xfId="27879"/>
    <cellStyle name="20% - Accent6 4 3 2 5" xfId="5760"/>
    <cellStyle name="20% - Accent6 4 3 2 5 2" xfId="28535"/>
    <cellStyle name="20% - Accent6 4 3 2 6" xfId="6416"/>
    <cellStyle name="20% - Accent6 4 3 2 6 2" xfId="29191"/>
    <cellStyle name="20% - Accent6 4 3 2 7" xfId="3136"/>
    <cellStyle name="20% - Accent6 4 3 2 7 2" xfId="25911"/>
    <cellStyle name="20% - Accent6 4 3 2 8" xfId="7072"/>
    <cellStyle name="20% - Accent6 4 3 2 8 2" xfId="29847"/>
    <cellStyle name="20% - Accent6 4 3 2 9" xfId="7728"/>
    <cellStyle name="20% - Accent6 4 3 2 9 2" xfId="30503"/>
    <cellStyle name="20% - Accent6 4 3 20" xfId="13304"/>
    <cellStyle name="20% - Accent6 4 3 20 2" xfId="36079"/>
    <cellStyle name="20% - Accent6 4 3 21" xfId="13960"/>
    <cellStyle name="20% - Accent6 4 3 21 2" xfId="36735"/>
    <cellStyle name="20% - Accent6 4 3 22" xfId="14616"/>
    <cellStyle name="20% - Accent6 4 3 22 2" xfId="37391"/>
    <cellStyle name="20% - Accent6 4 3 23" xfId="15272"/>
    <cellStyle name="20% - Accent6 4 3 23 2" xfId="38047"/>
    <cellStyle name="20% - Accent6 4 3 24" xfId="15928"/>
    <cellStyle name="20% - Accent6 4 3 24 2" xfId="38703"/>
    <cellStyle name="20% - Accent6 4 3 25" xfId="16584"/>
    <cellStyle name="20% - Accent6 4 3 25 2" xfId="39359"/>
    <cellStyle name="20% - Accent6 4 3 26" xfId="17240"/>
    <cellStyle name="20% - Accent6 4 3 26 2" xfId="40015"/>
    <cellStyle name="20% - Accent6 4 3 27" xfId="17896"/>
    <cellStyle name="20% - Accent6 4 3 27 2" xfId="40671"/>
    <cellStyle name="20% - Accent6 4 3 28" xfId="18552"/>
    <cellStyle name="20% - Accent6 4 3 28 2" xfId="41327"/>
    <cellStyle name="20% - Accent6 4 3 29" xfId="19208"/>
    <cellStyle name="20% - Accent6 4 3 29 2" xfId="41983"/>
    <cellStyle name="20% - Accent6 4 3 3" xfId="1168"/>
    <cellStyle name="20% - Accent6 4 3 3 2" xfId="2808"/>
    <cellStyle name="20% - Accent6 4 3 3 2 2" xfId="25583"/>
    <cellStyle name="20% - Accent6 4 3 3 3" xfId="23943"/>
    <cellStyle name="20% - Accent6 4 3 30" xfId="19864"/>
    <cellStyle name="20% - Accent6 4 3 30 2" xfId="42639"/>
    <cellStyle name="20% - Accent6 4 3 31" xfId="20520"/>
    <cellStyle name="20% - Accent6 4 3 31 2" xfId="43295"/>
    <cellStyle name="20% - Accent6 4 3 32" xfId="21176"/>
    <cellStyle name="20% - Accent6 4 3 32 2" xfId="43951"/>
    <cellStyle name="20% - Accent6 4 3 33" xfId="21832"/>
    <cellStyle name="20% - Accent6 4 3 33 2" xfId="44607"/>
    <cellStyle name="20% - Accent6 4 3 34" xfId="22488"/>
    <cellStyle name="20% - Accent6 4 3 34 2" xfId="45263"/>
    <cellStyle name="20% - Accent6 4 3 35" xfId="23287"/>
    <cellStyle name="20% - Accent6 4 3 4" xfId="1824"/>
    <cellStyle name="20% - Accent6 4 3 4 2" xfId="3464"/>
    <cellStyle name="20% - Accent6 4 3 4 2 2" xfId="26239"/>
    <cellStyle name="20% - Accent6 4 3 4 3" xfId="24599"/>
    <cellStyle name="20% - Accent6 4 3 5" xfId="4120"/>
    <cellStyle name="20% - Accent6 4 3 5 2" xfId="26895"/>
    <cellStyle name="20% - Accent6 4 3 6" xfId="4776"/>
    <cellStyle name="20% - Accent6 4 3 6 2" xfId="27551"/>
    <cellStyle name="20% - Accent6 4 3 7" xfId="5432"/>
    <cellStyle name="20% - Accent6 4 3 7 2" xfId="28207"/>
    <cellStyle name="20% - Accent6 4 3 8" xfId="6088"/>
    <cellStyle name="20% - Accent6 4 3 8 2" xfId="28863"/>
    <cellStyle name="20% - Accent6 4 3 9" xfId="2480"/>
    <cellStyle name="20% - Accent6 4 3 9 2" xfId="25255"/>
    <cellStyle name="20% - Accent6 4 30" xfId="18367"/>
    <cellStyle name="20% - Accent6 4 30 2" xfId="41142"/>
    <cellStyle name="20% - Accent6 4 31" xfId="19023"/>
    <cellStyle name="20% - Accent6 4 31 2" xfId="41798"/>
    <cellStyle name="20% - Accent6 4 32" xfId="19679"/>
    <cellStyle name="20% - Accent6 4 32 2" xfId="42454"/>
    <cellStyle name="20% - Accent6 4 33" xfId="20335"/>
    <cellStyle name="20% - Accent6 4 33 2" xfId="43110"/>
    <cellStyle name="20% - Accent6 4 34" xfId="20991"/>
    <cellStyle name="20% - Accent6 4 34 2" xfId="43766"/>
    <cellStyle name="20% - Accent6 4 35" xfId="21647"/>
    <cellStyle name="20% - Accent6 4 35 2" xfId="44422"/>
    <cellStyle name="20% - Accent6 4 36" xfId="22303"/>
    <cellStyle name="20% - Accent6 4 36 2" xfId="45078"/>
    <cellStyle name="20% - Accent6 4 37" xfId="242"/>
    <cellStyle name="20% - Accent6 4 38" xfId="22959"/>
    <cellStyle name="20% - Accent6 4 4" xfId="655"/>
    <cellStyle name="20% - Accent6 4 4 10" xfId="8199"/>
    <cellStyle name="20% - Accent6 4 4 10 2" xfId="30974"/>
    <cellStyle name="20% - Accent6 4 4 11" xfId="8855"/>
    <cellStyle name="20% - Accent6 4 4 11 2" xfId="31630"/>
    <cellStyle name="20% - Accent6 4 4 12" xfId="9511"/>
    <cellStyle name="20% - Accent6 4 4 12 2" xfId="32286"/>
    <cellStyle name="20% - Accent6 4 4 13" xfId="10167"/>
    <cellStyle name="20% - Accent6 4 4 13 2" xfId="32942"/>
    <cellStyle name="20% - Accent6 4 4 14" xfId="10823"/>
    <cellStyle name="20% - Accent6 4 4 14 2" xfId="33598"/>
    <cellStyle name="20% - Accent6 4 4 15" xfId="11479"/>
    <cellStyle name="20% - Accent6 4 4 15 2" xfId="34254"/>
    <cellStyle name="20% - Accent6 4 4 16" xfId="12135"/>
    <cellStyle name="20% - Accent6 4 4 16 2" xfId="34910"/>
    <cellStyle name="20% - Accent6 4 4 17" xfId="12791"/>
    <cellStyle name="20% - Accent6 4 4 17 2" xfId="35566"/>
    <cellStyle name="20% - Accent6 4 4 18" xfId="13447"/>
    <cellStyle name="20% - Accent6 4 4 18 2" xfId="36222"/>
    <cellStyle name="20% - Accent6 4 4 19" xfId="14103"/>
    <cellStyle name="20% - Accent6 4 4 19 2" xfId="36878"/>
    <cellStyle name="20% - Accent6 4 4 2" xfId="1311"/>
    <cellStyle name="20% - Accent6 4 4 2 2" xfId="3607"/>
    <cellStyle name="20% - Accent6 4 4 2 2 2" xfId="26382"/>
    <cellStyle name="20% - Accent6 4 4 2 3" xfId="24086"/>
    <cellStyle name="20% - Accent6 4 4 20" xfId="14759"/>
    <cellStyle name="20% - Accent6 4 4 20 2" xfId="37534"/>
    <cellStyle name="20% - Accent6 4 4 21" xfId="15415"/>
    <cellStyle name="20% - Accent6 4 4 21 2" xfId="38190"/>
    <cellStyle name="20% - Accent6 4 4 22" xfId="16071"/>
    <cellStyle name="20% - Accent6 4 4 22 2" xfId="38846"/>
    <cellStyle name="20% - Accent6 4 4 23" xfId="16727"/>
    <cellStyle name="20% - Accent6 4 4 23 2" xfId="39502"/>
    <cellStyle name="20% - Accent6 4 4 24" xfId="17383"/>
    <cellStyle name="20% - Accent6 4 4 24 2" xfId="40158"/>
    <cellStyle name="20% - Accent6 4 4 25" xfId="18039"/>
    <cellStyle name="20% - Accent6 4 4 25 2" xfId="40814"/>
    <cellStyle name="20% - Accent6 4 4 26" xfId="18695"/>
    <cellStyle name="20% - Accent6 4 4 26 2" xfId="41470"/>
    <cellStyle name="20% - Accent6 4 4 27" xfId="19351"/>
    <cellStyle name="20% - Accent6 4 4 27 2" xfId="42126"/>
    <cellStyle name="20% - Accent6 4 4 28" xfId="20007"/>
    <cellStyle name="20% - Accent6 4 4 28 2" xfId="42782"/>
    <cellStyle name="20% - Accent6 4 4 29" xfId="20663"/>
    <cellStyle name="20% - Accent6 4 4 29 2" xfId="43438"/>
    <cellStyle name="20% - Accent6 4 4 3" xfId="1967"/>
    <cellStyle name="20% - Accent6 4 4 3 2" xfId="4263"/>
    <cellStyle name="20% - Accent6 4 4 3 2 2" xfId="27038"/>
    <cellStyle name="20% - Accent6 4 4 3 3" xfId="24742"/>
    <cellStyle name="20% - Accent6 4 4 30" xfId="21319"/>
    <cellStyle name="20% - Accent6 4 4 30 2" xfId="44094"/>
    <cellStyle name="20% - Accent6 4 4 31" xfId="21975"/>
    <cellStyle name="20% - Accent6 4 4 31 2" xfId="44750"/>
    <cellStyle name="20% - Accent6 4 4 32" xfId="22631"/>
    <cellStyle name="20% - Accent6 4 4 32 2" xfId="45406"/>
    <cellStyle name="20% - Accent6 4 4 33" xfId="23430"/>
    <cellStyle name="20% - Accent6 4 4 4" xfId="4919"/>
    <cellStyle name="20% - Accent6 4 4 4 2" xfId="27694"/>
    <cellStyle name="20% - Accent6 4 4 5" xfId="5575"/>
    <cellStyle name="20% - Accent6 4 4 5 2" xfId="28350"/>
    <cellStyle name="20% - Accent6 4 4 6" xfId="6231"/>
    <cellStyle name="20% - Accent6 4 4 6 2" xfId="29006"/>
    <cellStyle name="20% - Accent6 4 4 7" xfId="2951"/>
    <cellStyle name="20% - Accent6 4 4 7 2" xfId="25726"/>
    <cellStyle name="20% - Accent6 4 4 8" xfId="6887"/>
    <cellStyle name="20% - Accent6 4 4 8 2" xfId="29662"/>
    <cellStyle name="20% - Accent6 4 4 9" xfId="7543"/>
    <cellStyle name="20% - Accent6 4 4 9 2" xfId="30318"/>
    <cellStyle name="20% - Accent6 4 5" xfId="328"/>
    <cellStyle name="20% - Accent6 4 5 2" xfId="2623"/>
    <cellStyle name="20% - Accent6 4 5 2 2" xfId="25398"/>
    <cellStyle name="20% - Accent6 4 5 3" xfId="23102"/>
    <cellStyle name="20% - Accent6 4 6" xfId="983"/>
    <cellStyle name="20% - Accent6 4 6 2" xfId="3279"/>
    <cellStyle name="20% - Accent6 4 6 2 2" xfId="26054"/>
    <cellStyle name="20% - Accent6 4 6 3" xfId="23758"/>
    <cellStyle name="20% - Accent6 4 7" xfId="1639"/>
    <cellStyle name="20% - Accent6 4 7 2" xfId="3935"/>
    <cellStyle name="20% - Accent6 4 7 2 2" xfId="26710"/>
    <cellStyle name="20% - Accent6 4 7 3" xfId="24414"/>
    <cellStyle name="20% - Accent6 4 8" xfId="4591"/>
    <cellStyle name="20% - Accent6 4 8 2" xfId="27366"/>
    <cellStyle name="20% - Accent6 4 9" xfId="5247"/>
    <cellStyle name="20% - Accent6 4 9 2" xfId="28022"/>
    <cellStyle name="20% - Accent6 40" xfId="20290"/>
    <cellStyle name="20% - Accent6 40 2" xfId="43065"/>
    <cellStyle name="20% - Accent6 41" xfId="20946"/>
    <cellStyle name="20% - Accent6 41 2" xfId="43721"/>
    <cellStyle name="20% - Accent6 42" xfId="21602"/>
    <cellStyle name="20% - Accent6 42 2" xfId="44377"/>
    <cellStyle name="20% - Accent6 43" xfId="22258"/>
    <cellStyle name="20% - Accent6 43 2" xfId="45033"/>
    <cellStyle name="20% - Accent6 44" xfId="197"/>
    <cellStyle name="20% - Accent6 45" xfId="22914"/>
    <cellStyle name="20% - Accent6 5" xfId="111"/>
    <cellStyle name="20% - Accent6 5 10" xfId="5917"/>
    <cellStyle name="20% - Accent6 5 10 2" xfId="28692"/>
    <cellStyle name="20% - Accent6 5 11" xfId="2309"/>
    <cellStyle name="20% - Accent6 5 11 2" xfId="25084"/>
    <cellStyle name="20% - Accent6 5 12" xfId="6573"/>
    <cellStyle name="20% - Accent6 5 12 2" xfId="29348"/>
    <cellStyle name="20% - Accent6 5 13" xfId="7229"/>
    <cellStyle name="20% - Accent6 5 13 2" xfId="30004"/>
    <cellStyle name="20% - Accent6 5 14" xfId="7885"/>
    <cellStyle name="20% - Accent6 5 14 2" xfId="30660"/>
    <cellStyle name="20% - Accent6 5 15" xfId="8541"/>
    <cellStyle name="20% - Accent6 5 15 2" xfId="31316"/>
    <cellStyle name="20% - Accent6 5 16" xfId="9197"/>
    <cellStyle name="20% - Accent6 5 16 2" xfId="31972"/>
    <cellStyle name="20% - Accent6 5 17" xfId="9853"/>
    <cellStyle name="20% - Accent6 5 17 2" xfId="32628"/>
    <cellStyle name="20% - Accent6 5 18" xfId="10509"/>
    <cellStyle name="20% - Accent6 5 18 2" xfId="33284"/>
    <cellStyle name="20% - Accent6 5 19" xfId="11165"/>
    <cellStyle name="20% - Accent6 5 19 2" xfId="33940"/>
    <cellStyle name="20% - Accent6 5 2" xfId="182"/>
    <cellStyle name="20% - Accent6 5 2 10" xfId="2380"/>
    <cellStyle name="20% - Accent6 5 2 10 2" xfId="25155"/>
    <cellStyle name="20% - Accent6 5 2 11" xfId="6644"/>
    <cellStyle name="20% - Accent6 5 2 11 2" xfId="29419"/>
    <cellStyle name="20% - Accent6 5 2 12" xfId="7300"/>
    <cellStyle name="20% - Accent6 5 2 12 2" xfId="30075"/>
    <cellStyle name="20% - Accent6 5 2 13" xfId="7956"/>
    <cellStyle name="20% - Accent6 5 2 13 2" xfId="30731"/>
    <cellStyle name="20% - Accent6 5 2 14" xfId="8612"/>
    <cellStyle name="20% - Accent6 5 2 14 2" xfId="31387"/>
    <cellStyle name="20% - Accent6 5 2 15" xfId="9268"/>
    <cellStyle name="20% - Accent6 5 2 15 2" xfId="32043"/>
    <cellStyle name="20% - Accent6 5 2 16" xfId="9924"/>
    <cellStyle name="20% - Accent6 5 2 16 2" xfId="32699"/>
    <cellStyle name="20% - Accent6 5 2 17" xfId="10580"/>
    <cellStyle name="20% - Accent6 5 2 17 2" xfId="33355"/>
    <cellStyle name="20% - Accent6 5 2 18" xfId="11236"/>
    <cellStyle name="20% - Accent6 5 2 18 2" xfId="34011"/>
    <cellStyle name="20% - Accent6 5 2 19" xfId="11892"/>
    <cellStyle name="20% - Accent6 5 2 19 2" xfId="34667"/>
    <cellStyle name="20% - Accent6 5 2 2" xfId="596"/>
    <cellStyle name="20% - Accent6 5 2 2 10" xfId="6829"/>
    <cellStyle name="20% - Accent6 5 2 2 10 2" xfId="29604"/>
    <cellStyle name="20% - Accent6 5 2 2 11" xfId="7485"/>
    <cellStyle name="20% - Accent6 5 2 2 11 2" xfId="30260"/>
    <cellStyle name="20% - Accent6 5 2 2 12" xfId="8141"/>
    <cellStyle name="20% - Accent6 5 2 2 12 2" xfId="30916"/>
    <cellStyle name="20% - Accent6 5 2 2 13" xfId="8797"/>
    <cellStyle name="20% - Accent6 5 2 2 13 2" xfId="31572"/>
    <cellStyle name="20% - Accent6 5 2 2 14" xfId="9453"/>
    <cellStyle name="20% - Accent6 5 2 2 14 2" xfId="32228"/>
    <cellStyle name="20% - Accent6 5 2 2 15" xfId="10109"/>
    <cellStyle name="20% - Accent6 5 2 2 15 2" xfId="32884"/>
    <cellStyle name="20% - Accent6 5 2 2 16" xfId="10765"/>
    <cellStyle name="20% - Accent6 5 2 2 16 2" xfId="33540"/>
    <cellStyle name="20% - Accent6 5 2 2 17" xfId="11421"/>
    <cellStyle name="20% - Accent6 5 2 2 17 2" xfId="34196"/>
    <cellStyle name="20% - Accent6 5 2 2 18" xfId="12077"/>
    <cellStyle name="20% - Accent6 5 2 2 18 2" xfId="34852"/>
    <cellStyle name="20% - Accent6 5 2 2 19" xfId="12733"/>
    <cellStyle name="20% - Accent6 5 2 2 19 2" xfId="35508"/>
    <cellStyle name="20% - Accent6 5 2 2 2" xfId="925"/>
    <cellStyle name="20% - Accent6 5 2 2 2 10" xfId="8469"/>
    <cellStyle name="20% - Accent6 5 2 2 2 10 2" xfId="31244"/>
    <cellStyle name="20% - Accent6 5 2 2 2 11" xfId="9125"/>
    <cellStyle name="20% - Accent6 5 2 2 2 11 2" xfId="31900"/>
    <cellStyle name="20% - Accent6 5 2 2 2 12" xfId="9781"/>
    <cellStyle name="20% - Accent6 5 2 2 2 12 2" xfId="32556"/>
    <cellStyle name="20% - Accent6 5 2 2 2 13" xfId="10437"/>
    <cellStyle name="20% - Accent6 5 2 2 2 13 2" xfId="33212"/>
    <cellStyle name="20% - Accent6 5 2 2 2 14" xfId="11093"/>
    <cellStyle name="20% - Accent6 5 2 2 2 14 2" xfId="33868"/>
    <cellStyle name="20% - Accent6 5 2 2 2 15" xfId="11749"/>
    <cellStyle name="20% - Accent6 5 2 2 2 15 2" xfId="34524"/>
    <cellStyle name="20% - Accent6 5 2 2 2 16" xfId="12405"/>
    <cellStyle name="20% - Accent6 5 2 2 2 16 2" xfId="35180"/>
    <cellStyle name="20% - Accent6 5 2 2 2 17" xfId="13061"/>
    <cellStyle name="20% - Accent6 5 2 2 2 17 2" xfId="35836"/>
    <cellStyle name="20% - Accent6 5 2 2 2 18" xfId="13717"/>
    <cellStyle name="20% - Accent6 5 2 2 2 18 2" xfId="36492"/>
    <cellStyle name="20% - Accent6 5 2 2 2 19" xfId="14373"/>
    <cellStyle name="20% - Accent6 5 2 2 2 19 2" xfId="37148"/>
    <cellStyle name="20% - Accent6 5 2 2 2 2" xfId="1581"/>
    <cellStyle name="20% - Accent6 5 2 2 2 2 2" xfId="3877"/>
    <cellStyle name="20% - Accent6 5 2 2 2 2 2 2" xfId="26652"/>
    <cellStyle name="20% - Accent6 5 2 2 2 2 3" xfId="24356"/>
    <cellStyle name="20% - Accent6 5 2 2 2 20" xfId="15029"/>
    <cellStyle name="20% - Accent6 5 2 2 2 20 2" xfId="37804"/>
    <cellStyle name="20% - Accent6 5 2 2 2 21" xfId="15685"/>
    <cellStyle name="20% - Accent6 5 2 2 2 21 2" xfId="38460"/>
    <cellStyle name="20% - Accent6 5 2 2 2 22" xfId="16341"/>
    <cellStyle name="20% - Accent6 5 2 2 2 22 2" xfId="39116"/>
    <cellStyle name="20% - Accent6 5 2 2 2 23" xfId="16997"/>
    <cellStyle name="20% - Accent6 5 2 2 2 23 2" xfId="39772"/>
    <cellStyle name="20% - Accent6 5 2 2 2 24" xfId="17653"/>
    <cellStyle name="20% - Accent6 5 2 2 2 24 2" xfId="40428"/>
    <cellStyle name="20% - Accent6 5 2 2 2 25" xfId="18309"/>
    <cellStyle name="20% - Accent6 5 2 2 2 25 2" xfId="41084"/>
    <cellStyle name="20% - Accent6 5 2 2 2 26" xfId="18965"/>
    <cellStyle name="20% - Accent6 5 2 2 2 26 2" xfId="41740"/>
    <cellStyle name="20% - Accent6 5 2 2 2 27" xfId="19621"/>
    <cellStyle name="20% - Accent6 5 2 2 2 27 2" xfId="42396"/>
    <cellStyle name="20% - Accent6 5 2 2 2 28" xfId="20277"/>
    <cellStyle name="20% - Accent6 5 2 2 2 28 2" xfId="43052"/>
    <cellStyle name="20% - Accent6 5 2 2 2 29" xfId="20933"/>
    <cellStyle name="20% - Accent6 5 2 2 2 29 2" xfId="43708"/>
    <cellStyle name="20% - Accent6 5 2 2 2 3" xfId="2237"/>
    <cellStyle name="20% - Accent6 5 2 2 2 3 2" xfId="4533"/>
    <cellStyle name="20% - Accent6 5 2 2 2 3 2 2" xfId="27308"/>
    <cellStyle name="20% - Accent6 5 2 2 2 3 3" xfId="25012"/>
    <cellStyle name="20% - Accent6 5 2 2 2 30" xfId="21589"/>
    <cellStyle name="20% - Accent6 5 2 2 2 30 2" xfId="44364"/>
    <cellStyle name="20% - Accent6 5 2 2 2 31" xfId="22245"/>
    <cellStyle name="20% - Accent6 5 2 2 2 31 2" xfId="45020"/>
    <cellStyle name="20% - Accent6 5 2 2 2 32" xfId="22901"/>
    <cellStyle name="20% - Accent6 5 2 2 2 32 2" xfId="45676"/>
    <cellStyle name="20% - Accent6 5 2 2 2 33" xfId="23700"/>
    <cellStyle name="20% - Accent6 5 2 2 2 4" xfId="5189"/>
    <cellStyle name="20% - Accent6 5 2 2 2 4 2" xfId="27964"/>
    <cellStyle name="20% - Accent6 5 2 2 2 5" xfId="5845"/>
    <cellStyle name="20% - Accent6 5 2 2 2 5 2" xfId="28620"/>
    <cellStyle name="20% - Accent6 5 2 2 2 6" xfId="6501"/>
    <cellStyle name="20% - Accent6 5 2 2 2 6 2" xfId="29276"/>
    <cellStyle name="20% - Accent6 5 2 2 2 7" xfId="3221"/>
    <cellStyle name="20% - Accent6 5 2 2 2 7 2" xfId="25996"/>
    <cellStyle name="20% - Accent6 5 2 2 2 8" xfId="7157"/>
    <cellStyle name="20% - Accent6 5 2 2 2 8 2" xfId="29932"/>
    <cellStyle name="20% - Accent6 5 2 2 2 9" xfId="7813"/>
    <cellStyle name="20% - Accent6 5 2 2 2 9 2" xfId="30588"/>
    <cellStyle name="20% - Accent6 5 2 2 20" xfId="13389"/>
    <cellStyle name="20% - Accent6 5 2 2 20 2" xfId="36164"/>
    <cellStyle name="20% - Accent6 5 2 2 21" xfId="14045"/>
    <cellStyle name="20% - Accent6 5 2 2 21 2" xfId="36820"/>
    <cellStyle name="20% - Accent6 5 2 2 22" xfId="14701"/>
    <cellStyle name="20% - Accent6 5 2 2 22 2" xfId="37476"/>
    <cellStyle name="20% - Accent6 5 2 2 23" xfId="15357"/>
    <cellStyle name="20% - Accent6 5 2 2 23 2" xfId="38132"/>
    <cellStyle name="20% - Accent6 5 2 2 24" xfId="16013"/>
    <cellStyle name="20% - Accent6 5 2 2 24 2" xfId="38788"/>
    <cellStyle name="20% - Accent6 5 2 2 25" xfId="16669"/>
    <cellStyle name="20% - Accent6 5 2 2 25 2" xfId="39444"/>
    <cellStyle name="20% - Accent6 5 2 2 26" xfId="17325"/>
    <cellStyle name="20% - Accent6 5 2 2 26 2" xfId="40100"/>
    <cellStyle name="20% - Accent6 5 2 2 27" xfId="17981"/>
    <cellStyle name="20% - Accent6 5 2 2 27 2" xfId="40756"/>
    <cellStyle name="20% - Accent6 5 2 2 28" xfId="18637"/>
    <cellStyle name="20% - Accent6 5 2 2 28 2" xfId="41412"/>
    <cellStyle name="20% - Accent6 5 2 2 29" xfId="19293"/>
    <cellStyle name="20% - Accent6 5 2 2 29 2" xfId="42068"/>
    <cellStyle name="20% - Accent6 5 2 2 3" xfId="1253"/>
    <cellStyle name="20% - Accent6 5 2 2 3 2" xfId="2893"/>
    <cellStyle name="20% - Accent6 5 2 2 3 2 2" xfId="25668"/>
    <cellStyle name="20% - Accent6 5 2 2 3 3" xfId="24028"/>
    <cellStyle name="20% - Accent6 5 2 2 30" xfId="19949"/>
    <cellStyle name="20% - Accent6 5 2 2 30 2" xfId="42724"/>
    <cellStyle name="20% - Accent6 5 2 2 31" xfId="20605"/>
    <cellStyle name="20% - Accent6 5 2 2 31 2" xfId="43380"/>
    <cellStyle name="20% - Accent6 5 2 2 32" xfId="21261"/>
    <cellStyle name="20% - Accent6 5 2 2 32 2" xfId="44036"/>
    <cellStyle name="20% - Accent6 5 2 2 33" xfId="21917"/>
    <cellStyle name="20% - Accent6 5 2 2 33 2" xfId="44692"/>
    <cellStyle name="20% - Accent6 5 2 2 34" xfId="22573"/>
    <cellStyle name="20% - Accent6 5 2 2 34 2" xfId="45348"/>
    <cellStyle name="20% - Accent6 5 2 2 35" xfId="23372"/>
    <cellStyle name="20% - Accent6 5 2 2 4" xfId="1909"/>
    <cellStyle name="20% - Accent6 5 2 2 4 2" xfId="3549"/>
    <cellStyle name="20% - Accent6 5 2 2 4 2 2" xfId="26324"/>
    <cellStyle name="20% - Accent6 5 2 2 4 3" xfId="24684"/>
    <cellStyle name="20% - Accent6 5 2 2 5" xfId="4205"/>
    <cellStyle name="20% - Accent6 5 2 2 5 2" xfId="26980"/>
    <cellStyle name="20% - Accent6 5 2 2 6" xfId="4861"/>
    <cellStyle name="20% - Accent6 5 2 2 6 2" xfId="27636"/>
    <cellStyle name="20% - Accent6 5 2 2 7" xfId="5517"/>
    <cellStyle name="20% - Accent6 5 2 2 7 2" xfId="28292"/>
    <cellStyle name="20% - Accent6 5 2 2 8" xfId="6173"/>
    <cellStyle name="20% - Accent6 5 2 2 8 2" xfId="28948"/>
    <cellStyle name="20% - Accent6 5 2 2 9" xfId="2565"/>
    <cellStyle name="20% - Accent6 5 2 2 9 2" xfId="25340"/>
    <cellStyle name="20% - Accent6 5 2 20" xfId="12548"/>
    <cellStyle name="20% - Accent6 5 2 20 2" xfId="35323"/>
    <cellStyle name="20% - Accent6 5 2 21" xfId="13204"/>
    <cellStyle name="20% - Accent6 5 2 21 2" xfId="35979"/>
    <cellStyle name="20% - Accent6 5 2 22" xfId="13860"/>
    <cellStyle name="20% - Accent6 5 2 22 2" xfId="36635"/>
    <cellStyle name="20% - Accent6 5 2 23" xfId="14516"/>
    <cellStyle name="20% - Accent6 5 2 23 2" xfId="37291"/>
    <cellStyle name="20% - Accent6 5 2 24" xfId="15172"/>
    <cellStyle name="20% - Accent6 5 2 24 2" xfId="37947"/>
    <cellStyle name="20% - Accent6 5 2 25" xfId="15828"/>
    <cellStyle name="20% - Accent6 5 2 25 2" xfId="38603"/>
    <cellStyle name="20% - Accent6 5 2 26" xfId="16484"/>
    <cellStyle name="20% - Accent6 5 2 26 2" xfId="39259"/>
    <cellStyle name="20% - Accent6 5 2 27" xfId="17140"/>
    <cellStyle name="20% - Accent6 5 2 27 2" xfId="39915"/>
    <cellStyle name="20% - Accent6 5 2 28" xfId="17796"/>
    <cellStyle name="20% - Accent6 5 2 28 2" xfId="40571"/>
    <cellStyle name="20% - Accent6 5 2 29" xfId="18452"/>
    <cellStyle name="20% - Accent6 5 2 29 2" xfId="41227"/>
    <cellStyle name="20% - Accent6 5 2 3" xfId="740"/>
    <cellStyle name="20% - Accent6 5 2 3 10" xfId="8284"/>
    <cellStyle name="20% - Accent6 5 2 3 10 2" xfId="31059"/>
    <cellStyle name="20% - Accent6 5 2 3 11" xfId="8940"/>
    <cellStyle name="20% - Accent6 5 2 3 11 2" xfId="31715"/>
    <cellStyle name="20% - Accent6 5 2 3 12" xfId="9596"/>
    <cellStyle name="20% - Accent6 5 2 3 12 2" xfId="32371"/>
    <cellStyle name="20% - Accent6 5 2 3 13" xfId="10252"/>
    <cellStyle name="20% - Accent6 5 2 3 13 2" xfId="33027"/>
    <cellStyle name="20% - Accent6 5 2 3 14" xfId="10908"/>
    <cellStyle name="20% - Accent6 5 2 3 14 2" xfId="33683"/>
    <cellStyle name="20% - Accent6 5 2 3 15" xfId="11564"/>
    <cellStyle name="20% - Accent6 5 2 3 15 2" xfId="34339"/>
    <cellStyle name="20% - Accent6 5 2 3 16" xfId="12220"/>
    <cellStyle name="20% - Accent6 5 2 3 16 2" xfId="34995"/>
    <cellStyle name="20% - Accent6 5 2 3 17" xfId="12876"/>
    <cellStyle name="20% - Accent6 5 2 3 17 2" xfId="35651"/>
    <cellStyle name="20% - Accent6 5 2 3 18" xfId="13532"/>
    <cellStyle name="20% - Accent6 5 2 3 18 2" xfId="36307"/>
    <cellStyle name="20% - Accent6 5 2 3 19" xfId="14188"/>
    <cellStyle name="20% - Accent6 5 2 3 19 2" xfId="36963"/>
    <cellStyle name="20% - Accent6 5 2 3 2" xfId="1396"/>
    <cellStyle name="20% - Accent6 5 2 3 2 2" xfId="3692"/>
    <cellStyle name="20% - Accent6 5 2 3 2 2 2" xfId="26467"/>
    <cellStyle name="20% - Accent6 5 2 3 2 3" xfId="24171"/>
    <cellStyle name="20% - Accent6 5 2 3 20" xfId="14844"/>
    <cellStyle name="20% - Accent6 5 2 3 20 2" xfId="37619"/>
    <cellStyle name="20% - Accent6 5 2 3 21" xfId="15500"/>
    <cellStyle name="20% - Accent6 5 2 3 21 2" xfId="38275"/>
    <cellStyle name="20% - Accent6 5 2 3 22" xfId="16156"/>
    <cellStyle name="20% - Accent6 5 2 3 22 2" xfId="38931"/>
    <cellStyle name="20% - Accent6 5 2 3 23" xfId="16812"/>
    <cellStyle name="20% - Accent6 5 2 3 23 2" xfId="39587"/>
    <cellStyle name="20% - Accent6 5 2 3 24" xfId="17468"/>
    <cellStyle name="20% - Accent6 5 2 3 24 2" xfId="40243"/>
    <cellStyle name="20% - Accent6 5 2 3 25" xfId="18124"/>
    <cellStyle name="20% - Accent6 5 2 3 25 2" xfId="40899"/>
    <cellStyle name="20% - Accent6 5 2 3 26" xfId="18780"/>
    <cellStyle name="20% - Accent6 5 2 3 26 2" xfId="41555"/>
    <cellStyle name="20% - Accent6 5 2 3 27" xfId="19436"/>
    <cellStyle name="20% - Accent6 5 2 3 27 2" xfId="42211"/>
    <cellStyle name="20% - Accent6 5 2 3 28" xfId="20092"/>
    <cellStyle name="20% - Accent6 5 2 3 28 2" xfId="42867"/>
    <cellStyle name="20% - Accent6 5 2 3 29" xfId="20748"/>
    <cellStyle name="20% - Accent6 5 2 3 29 2" xfId="43523"/>
    <cellStyle name="20% - Accent6 5 2 3 3" xfId="2052"/>
    <cellStyle name="20% - Accent6 5 2 3 3 2" xfId="4348"/>
    <cellStyle name="20% - Accent6 5 2 3 3 2 2" xfId="27123"/>
    <cellStyle name="20% - Accent6 5 2 3 3 3" xfId="24827"/>
    <cellStyle name="20% - Accent6 5 2 3 30" xfId="21404"/>
    <cellStyle name="20% - Accent6 5 2 3 30 2" xfId="44179"/>
    <cellStyle name="20% - Accent6 5 2 3 31" xfId="22060"/>
    <cellStyle name="20% - Accent6 5 2 3 31 2" xfId="44835"/>
    <cellStyle name="20% - Accent6 5 2 3 32" xfId="22716"/>
    <cellStyle name="20% - Accent6 5 2 3 32 2" xfId="45491"/>
    <cellStyle name="20% - Accent6 5 2 3 33" xfId="23515"/>
    <cellStyle name="20% - Accent6 5 2 3 4" xfId="5004"/>
    <cellStyle name="20% - Accent6 5 2 3 4 2" xfId="27779"/>
    <cellStyle name="20% - Accent6 5 2 3 5" xfId="5660"/>
    <cellStyle name="20% - Accent6 5 2 3 5 2" xfId="28435"/>
    <cellStyle name="20% - Accent6 5 2 3 6" xfId="6316"/>
    <cellStyle name="20% - Accent6 5 2 3 6 2" xfId="29091"/>
    <cellStyle name="20% - Accent6 5 2 3 7" xfId="3036"/>
    <cellStyle name="20% - Accent6 5 2 3 7 2" xfId="25811"/>
    <cellStyle name="20% - Accent6 5 2 3 8" xfId="6972"/>
    <cellStyle name="20% - Accent6 5 2 3 8 2" xfId="29747"/>
    <cellStyle name="20% - Accent6 5 2 3 9" xfId="7628"/>
    <cellStyle name="20% - Accent6 5 2 3 9 2" xfId="30403"/>
    <cellStyle name="20% - Accent6 5 2 30" xfId="19108"/>
    <cellStyle name="20% - Accent6 5 2 30 2" xfId="41883"/>
    <cellStyle name="20% - Accent6 5 2 31" xfId="19764"/>
    <cellStyle name="20% - Accent6 5 2 31 2" xfId="42539"/>
    <cellStyle name="20% - Accent6 5 2 32" xfId="20420"/>
    <cellStyle name="20% - Accent6 5 2 32 2" xfId="43195"/>
    <cellStyle name="20% - Accent6 5 2 33" xfId="21076"/>
    <cellStyle name="20% - Accent6 5 2 33 2" xfId="43851"/>
    <cellStyle name="20% - Accent6 5 2 34" xfId="21732"/>
    <cellStyle name="20% - Accent6 5 2 34 2" xfId="44507"/>
    <cellStyle name="20% - Accent6 5 2 35" xfId="22388"/>
    <cellStyle name="20% - Accent6 5 2 35 2" xfId="45163"/>
    <cellStyle name="20% - Accent6 5 2 36" xfId="23044"/>
    <cellStyle name="20% - Accent6 5 2 4" xfId="413"/>
    <cellStyle name="20% - Accent6 5 2 4 2" xfId="2708"/>
    <cellStyle name="20% - Accent6 5 2 4 2 2" xfId="25483"/>
    <cellStyle name="20% - Accent6 5 2 4 3" xfId="23187"/>
    <cellStyle name="20% - Accent6 5 2 5" xfId="1068"/>
    <cellStyle name="20% - Accent6 5 2 5 2" xfId="3364"/>
    <cellStyle name="20% - Accent6 5 2 5 2 2" xfId="26139"/>
    <cellStyle name="20% - Accent6 5 2 5 3" xfId="23843"/>
    <cellStyle name="20% - Accent6 5 2 6" xfId="1724"/>
    <cellStyle name="20% - Accent6 5 2 6 2" xfId="4020"/>
    <cellStyle name="20% - Accent6 5 2 6 2 2" xfId="26795"/>
    <cellStyle name="20% - Accent6 5 2 6 3" xfId="24499"/>
    <cellStyle name="20% - Accent6 5 2 7" xfId="4676"/>
    <cellStyle name="20% - Accent6 5 2 7 2" xfId="27451"/>
    <cellStyle name="20% - Accent6 5 2 8" xfId="5332"/>
    <cellStyle name="20% - Accent6 5 2 8 2" xfId="28107"/>
    <cellStyle name="20% - Accent6 5 2 9" xfId="5988"/>
    <cellStyle name="20% - Accent6 5 2 9 2" xfId="28763"/>
    <cellStyle name="20% - Accent6 5 20" xfId="11821"/>
    <cellStyle name="20% - Accent6 5 20 2" xfId="34596"/>
    <cellStyle name="20% - Accent6 5 21" xfId="12477"/>
    <cellStyle name="20% - Accent6 5 21 2" xfId="35252"/>
    <cellStyle name="20% - Accent6 5 22" xfId="13133"/>
    <cellStyle name="20% - Accent6 5 22 2" xfId="35908"/>
    <cellStyle name="20% - Accent6 5 23" xfId="13789"/>
    <cellStyle name="20% - Accent6 5 23 2" xfId="36564"/>
    <cellStyle name="20% - Accent6 5 24" xfId="14445"/>
    <cellStyle name="20% - Accent6 5 24 2" xfId="37220"/>
    <cellStyle name="20% - Accent6 5 25" xfId="15101"/>
    <cellStyle name="20% - Accent6 5 25 2" xfId="37876"/>
    <cellStyle name="20% - Accent6 5 26" xfId="15757"/>
    <cellStyle name="20% - Accent6 5 26 2" xfId="38532"/>
    <cellStyle name="20% - Accent6 5 27" xfId="16413"/>
    <cellStyle name="20% - Accent6 5 27 2" xfId="39188"/>
    <cellStyle name="20% - Accent6 5 28" xfId="17069"/>
    <cellStyle name="20% - Accent6 5 28 2" xfId="39844"/>
    <cellStyle name="20% - Accent6 5 29" xfId="17725"/>
    <cellStyle name="20% - Accent6 5 29 2" xfId="40500"/>
    <cellStyle name="20% - Accent6 5 3" xfId="526"/>
    <cellStyle name="20% - Accent6 5 3 10" xfId="6758"/>
    <cellStyle name="20% - Accent6 5 3 10 2" xfId="29533"/>
    <cellStyle name="20% - Accent6 5 3 11" xfId="7414"/>
    <cellStyle name="20% - Accent6 5 3 11 2" xfId="30189"/>
    <cellStyle name="20% - Accent6 5 3 12" xfId="8070"/>
    <cellStyle name="20% - Accent6 5 3 12 2" xfId="30845"/>
    <cellStyle name="20% - Accent6 5 3 13" xfId="8726"/>
    <cellStyle name="20% - Accent6 5 3 13 2" xfId="31501"/>
    <cellStyle name="20% - Accent6 5 3 14" xfId="9382"/>
    <cellStyle name="20% - Accent6 5 3 14 2" xfId="32157"/>
    <cellStyle name="20% - Accent6 5 3 15" xfId="10038"/>
    <cellStyle name="20% - Accent6 5 3 15 2" xfId="32813"/>
    <cellStyle name="20% - Accent6 5 3 16" xfId="10694"/>
    <cellStyle name="20% - Accent6 5 3 16 2" xfId="33469"/>
    <cellStyle name="20% - Accent6 5 3 17" xfId="11350"/>
    <cellStyle name="20% - Accent6 5 3 17 2" xfId="34125"/>
    <cellStyle name="20% - Accent6 5 3 18" xfId="12006"/>
    <cellStyle name="20% - Accent6 5 3 18 2" xfId="34781"/>
    <cellStyle name="20% - Accent6 5 3 19" xfId="12662"/>
    <cellStyle name="20% - Accent6 5 3 19 2" xfId="35437"/>
    <cellStyle name="20% - Accent6 5 3 2" xfId="854"/>
    <cellStyle name="20% - Accent6 5 3 2 10" xfId="8398"/>
    <cellStyle name="20% - Accent6 5 3 2 10 2" xfId="31173"/>
    <cellStyle name="20% - Accent6 5 3 2 11" xfId="9054"/>
    <cellStyle name="20% - Accent6 5 3 2 11 2" xfId="31829"/>
    <cellStyle name="20% - Accent6 5 3 2 12" xfId="9710"/>
    <cellStyle name="20% - Accent6 5 3 2 12 2" xfId="32485"/>
    <cellStyle name="20% - Accent6 5 3 2 13" xfId="10366"/>
    <cellStyle name="20% - Accent6 5 3 2 13 2" xfId="33141"/>
    <cellStyle name="20% - Accent6 5 3 2 14" xfId="11022"/>
    <cellStyle name="20% - Accent6 5 3 2 14 2" xfId="33797"/>
    <cellStyle name="20% - Accent6 5 3 2 15" xfId="11678"/>
    <cellStyle name="20% - Accent6 5 3 2 15 2" xfId="34453"/>
    <cellStyle name="20% - Accent6 5 3 2 16" xfId="12334"/>
    <cellStyle name="20% - Accent6 5 3 2 16 2" xfId="35109"/>
    <cellStyle name="20% - Accent6 5 3 2 17" xfId="12990"/>
    <cellStyle name="20% - Accent6 5 3 2 17 2" xfId="35765"/>
    <cellStyle name="20% - Accent6 5 3 2 18" xfId="13646"/>
    <cellStyle name="20% - Accent6 5 3 2 18 2" xfId="36421"/>
    <cellStyle name="20% - Accent6 5 3 2 19" xfId="14302"/>
    <cellStyle name="20% - Accent6 5 3 2 19 2" xfId="37077"/>
    <cellStyle name="20% - Accent6 5 3 2 2" xfId="1510"/>
    <cellStyle name="20% - Accent6 5 3 2 2 2" xfId="3806"/>
    <cellStyle name="20% - Accent6 5 3 2 2 2 2" xfId="26581"/>
    <cellStyle name="20% - Accent6 5 3 2 2 3" xfId="24285"/>
    <cellStyle name="20% - Accent6 5 3 2 20" xfId="14958"/>
    <cellStyle name="20% - Accent6 5 3 2 20 2" xfId="37733"/>
    <cellStyle name="20% - Accent6 5 3 2 21" xfId="15614"/>
    <cellStyle name="20% - Accent6 5 3 2 21 2" xfId="38389"/>
    <cellStyle name="20% - Accent6 5 3 2 22" xfId="16270"/>
    <cellStyle name="20% - Accent6 5 3 2 22 2" xfId="39045"/>
    <cellStyle name="20% - Accent6 5 3 2 23" xfId="16926"/>
    <cellStyle name="20% - Accent6 5 3 2 23 2" xfId="39701"/>
    <cellStyle name="20% - Accent6 5 3 2 24" xfId="17582"/>
    <cellStyle name="20% - Accent6 5 3 2 24 2" xfId="40357"/>
    <cellStyle name="20% - Accent6 5 3 2 25" xfId="18238"/>
    <cellStyle name="20% - Accent6 5 3 2 25 2" xfId="41013"/>
    <cellStyle name="20% - Accent6 5 3 2 26" xfId="18894"/>
    <cellStyle name="20% - Accent6 5 3 2 26 2" xfId="41669"/>
    <cellStyle name="20% - Accent6 5 3 2 27" xfId="19550"/>
    <cellStyle name="20% - Accent6 5 3 2 27 2" xfId="42325"/>
    <cellStyle name="20% - Accent6 5 3 2 28" xfId="20206"/>
    <cellStyle name="20% - Accent6 5 3 2 28 2" xfId="42981"/>
    <cellStyle name="20% - Accent6 5 3 2 29" xfId="20862"/>
    <cellStyle name="20% - Accent6 5 3 2 29 2" xfId="43637"/>
    <cellStyle name="20% - Accent6 5 3 2 3" xfId="2166"/>
    <cellStyle name="20% - Accent6 5 3 2 3 2" xfId="4462"/>
    <cellStyle name="20% - Accent6 5 3 2 3 2 2" xfId="27237"/>
    <cellStyle name="20% - Accent6 5 3 2 3 3" xfId="24941"/>
    <cellStyle name="20% - Accent6 5 3 2 30" xfId="21518"/>
    <cellStyle name="20% - Accent6 5 3 2 30 2" xfId="44293"/>
    <cellStyle name="20% - Accent6 5 3 2 31" xfId="22174"/>
    <cellStyle name="20% - Accent6 5 3 2 31 2" xfId="44949"/>
    <cellStyle name="20% - Accent6 5 3 2 32" xfId="22830"/>
    <cellStyle name="20% - Accent6 5 3 2 32 2" xfId="45605"/>
    <cellStyle name="20% - Accent6 5 3 2 33" xfId="23629"/>
    <cellStyle name="20% - Accent6 5 3 2 4" xfId="5118"/>
    <cellStyle name="20% - Accent6 5 3 2 4 2" xfId="27893"/>
    <cellStyle name="20% - Accent6 5 3 2 5" xfId="5774"/>
    <cellStyle name="20% - Accent6 5 3 2 5 2" xfId="28549"/>
    <cellStyle name="20% - Accent6 5 3 2 6" xfId="6430"/>
    <cellStyle name="20% - Accent6 5 3 2 6 2" xfId="29205"/>
    <cellStyle name="20% - Accent6 5 3 2 7" xfId="3150"/>
    <cellStyle name="20% - Accent6 5 3 2 7 2" xfId="25925"/>
    <cellStyle name="20% - Accent6 5 3 2 8" xfId="7086"/>
    <cellStyle name="20% - Accent6 5 3 2 8 2" xfId="29861"/>
    <cellStyle name="20% - Accent6 5 3 2 9" xfId="7742"/>
    <cellStyle name="20% - Accent6 5 3 2 9 2" xfId="30517"/>
    <cellStyle name="20% - Accent6 5 3 20" xfId="13318"/>
    <cellStyle name="20% - Accent6 5 3 20 2" xfId="36093"/>
    <cellStyle name="20% - Accent6 5 3 21" xfId="13974"/>
    <cellStyle name="20% - Accent6 5 3 21 2" xfId="36749"/>
    <cellStyle name="20% - Accent6 5 3 22" xfId="14630"/>
    <cellStyle name="20% - Accent6 5 3 22 2" xfId="37405"/>
    <cellStyle name="20% - Accent6 5 3 23" xfId="15286"/>
    <cellStyle name="20% - Accent6 5 3 23 2" xfId="38061"/>
    <cellStyle name="20% - Accent6 5 3 24" xfId="15942"/>
    <cellStyle name="20% - Accent6 5 3 24 2" xfId="38717"/>
    <cellStyle name="20% - Accent6 5 3 25" xfId="16598"/>
    <cellStyle name="20% - Accent6 5 3 25 2" xfId="39373"/>
    <cellStyle name="20% - Accent6 5 3 26" xfId="17254"/>
    <cellStyle name="20% - Accent6 5 3 26 2" xfId="40029"/>
    <cellStyle name="20% - Accent6 5 3 27" xfId="17910"/>
    <cellStyle name="20% - Accent6 5 3 27 2" xfId="40685"/>
    <cellStyle name="20% - Accent6 5 3 28" xfId="18566"/>
    <cellStyle name="20% - Accent6 5 3 28 2" xfId="41341"/>
    <cellStyle name="20% - Accent6 5 3 29" xfId="19222"/>
    <cellStyle name="20% - Accent6 5 3 29 2" xfId="41997"/>
    <cellStyle name="20% - Accent6 5 3 3" xfId="1182"/>
    <cellStyle name="20% - Accent6 5 3 3 2" xfId="2822"/>
    <cellStyle name="20% - Accent6 5 3 3 2 2" xfId="25597"/>
    <cellStyle name="20% - Accent6 5 3 3 3" xfId="23957"/>
    <cellStyle name="20% - Accent6 5 3 30" xfId="19878"/>
    <cellStyle name="20% - Accent6 5 3 30 2" xfId="42653"/>
    <cellStyle name="20% - Accent6 5 3 31" xfId="20534"/>
    <cellStyle name="20% - Accent6 5 3 31 2" xfId="43309"/>
    <cellStyle name="20% - Accent6 5 3 32" xfId="21190"/>
    <cellStyle name="20% - Accent6 5 3 32 2" xfId="43965"/>
    <cellStyle name="20% - Accent6 5 3 33" xfId="21846"/>
    <cellStyle name="20% - Accent6 5 3 33 2" xfId="44621"/>
    <cellStyle name="20% - Accent6 5 3 34" xfId="22502"/>
    <cellStyle name="20% - Accent6 5 3 34 2" xfId="45277"/>
    <cellStyle name="20% - Accent6 5 3 35" xfId="23301"/>
    <cellStyle name="20% - Accent6 5 3 4" xfId="1838"/>
    <cellStyle name="20% - Accent6 5 3 4 2" xfId="3478"/>
    <cellStyle name="20% - Accent6 5 3 4 2 2" xfId="26253"/>
    <cellStyle name="20% - Accent6 5 3 4 3" xfId="24613"/>
    <cellStyle name="20% - Accent6 5 3 5" xfId="4134"/>
    <cellStyle name="20% - Accent6 5 3 5 2" xfId="26909"/>
    <cellStyle name="20% - Accent6 5 3 6" xfId="4790"/>
    <cellStyle name="20% - Accent6 5 3 6 2" xfId="27565"/>
    <cellStyle name="20% - Accent6 5 3 7" xfId="5446"/>
    <cellStyle name="20% - Accent6 5 3 7 2" xfId="28221"/>
    <cellStyle name="20% - Accent6 5 3 8" xfId="6102"/>
    <cellStyle name="20% - Accent6 5 3 8 2" xfId="28877"/>
    <cellStyle name="20% - Accent6 5 3 9" xfId="2494"/>
    <cellStyle name="20% - Accent6 5 3 9 2" xfId="25269"/>
    <cellStyle name="20% - Accent6 5 30" xfId="18381"/>
    <cellStyle name="20% - Accent6 5 30 2" xfId="41156"/>
    <cellStyle name="20% - Accent6 5 31" xfId="19037"/>
    <cellStyle name="20% - Accent6 5 31 2" xfId="41812"/>
    <cellStyle name="20% - Accent6 5 32" xfId="19693"/>
    <cellStyle name="20% - Accent6 5 32 2" xfId="42468"/>
    <cellStyle name="20% - Accent6 5 33" xfId="20349"/>
    <cellStyle name="20% - Accent6 5 33 2" xfId="43124"/>
    <cellStyle name="20% - Accent6 5 34" xfId="21005"/>
    <cellStyle name="20% - Accent6 5 34 2" xfId="43780"/>
    <cellStyle name="20% - Accent6 5 35" xfId="21661"/>
    <cellStyle name="20% - Accent6 5 35 2" xfId="44436"/>
    <cellStyle name="20% - Accent6 5 36" xfId="22317"/>
    <cellStyle name="20% - Accent6 5 36 2" xfId="45092"/>
    <cellStyle name="20% - Accent6 5 37" xfId="256"/>
    <cellStyle name="20% - Accent6 5 38" xfId="22973"/>
    <cellStyle name="20% - Accent6 5 4" xfId="669"/>
    <cellStyle name="20% - Accent6 5 4 10" xfId="8213"/>
    <cellStyle name="20% - Accent6 5 4 10 2" xfId="30988"/>
    <cellStyle name="20% - Accent6 5 4 11" xfId="8869"/>
    <cellStyle name="20% - Accent6 5 4 11 2" xfId="31644"/>
    <cellStyle name="20% - Accent6 5 4 12" xfId="9525"/>
    <cellStyle name="20% - Accent6 5 4 12 2" xfId="32300"/>
    <cellStyle name="20% - Accent6 5 4 13" xfId="10181"/>
    <cellStyle name="20% - Accent6 5 4 13 2" xfId="32956"/>
    <cellStyle name="20% - Accent6 5 4 14" xfId="10837"/>
    <cellStyle name="20% - Accent6 5 4 14 2" xfId="33612"/>
    <cellStyle name="20% - Accent6 5 4 15" xfId="11493"/>
    <cellStyle name="20% - Accent6 5 4 15 2" xfId="34268"/>
    <cellStyle name="20% - Accent6 5 4 16" xfId="12149"/>
    <cellStyle name="20% - Accent6 5 4 16 2" xfId="34924"/>
    <cellStyle name="20% - Accent6 5 4 17" xfId="12805"/>
    <cellStyle name="20% - Accent6 5 4 17 2" xfId="35580"/>
    <cellStyle name="20% - Accent6 5 4 18" xfId="13461"/>
    <cellStyle name="20% - Accent6 5 4 18 2" xfId="36236"/>
    <cellStyle name="20% - Accent6 5 4 19" xfId="14117"/>
    <cellStyle name="20% - Accent6 5 4 19 2" xfId="36892"/>
    <cellStyle name="20% - Accent6 5 4 2" xfId="1325"/>
    <cellStyle name="20% - Accent6 5 4 2 2" xfId="3621"/>
    <cellStyle name="20% - Accent6 5 4 2 2 2" xfId="26396"/>
    <cellStyle name="20% - Accent6 5 4 2 3" xfId="24100"/>
    <cellStyle name="20% - Accent6 5 4 20" xfId="14773"/>
    <cellStyle name="20% - Accent6 5 4 20 2" xfId="37548"/>
    <cellStyle name="20% - Accent6 5 4 21" xfId="15429"/>
    <cellStyle name="20% - Accent6 5 4 21 2" xfId="38204"/>
    <cellStyle name="20% - Accent6 5 4 22" xfId="16085"/>
    <cellStyle name="20% - Accent6 5 4 22 2" xfId="38860"/>
    <cellStyle name="20% - Accent6 5 4 23" xfId="16741"/>
    <cellStyle name="20% - Accent6 5 4 23 2" xfId="39516"/>
    <cellStyle name="20% - Accent6 5 4 24" xfId="17397"/>
    <cellStyle name="20% - Accent6 5 4 24 2" xfId="40172"/>
    <cellStyle name="20% - Accent6 5 4 25" xfId="18053"/>
    <cellStyle name="20% - Accent6 5 4 25 2" xfId="40828"/>
    <cellStyle name="20% - Accent6 5 4 26" xfId="18709"/>
    <cellStyle name="20% - Accent6 5 4 26 2" xfId="41484"/>
    <cellStyle name="20% - Accent6 5 4 27" xfId="19365"/>
    <cellStyle name="20% - Accent6 5 4 27 2" xfId="42140"/>
    <cellStyle name="20% - Accent6 5 4 28" xfId="20021"/>
    <cellStyle name="20% - Accent6 5 4 28 2" xfId="42796"/>
    <cellStyle name="20% - Accent6 5 4 29" xfId="20677"/>
    <cellStyle name="20% - Accent6 5 4 29 2" xfId="43452"/>
    <cellStyle name="20% - Accent6 5 4 3" xfId="1981"/>
    <cellStyle name="20% - Accent6 5 4 3 2" xfId="4277"/>
    <cellStyle name="20% - Accent6 5 4 3 2 2" xfId="27052"/>
    <cellStyle name="20% - Accent6 5 4 3 3" xfId="24756"/>
    <cellStyle name="20% - Accent6 5 4 30" xfId="21333"/>
    <cellStyle name="20% - Accent6 5 4 30 2" xfId="44108"/>
    <cellStyle name="20% - Accent6 5 4 31" xfId="21989"/>
    <cellStyle name="20% - Accent6 5 4 31 2" xfId="44764"/>
    <cellStyle name="20% - Accent6 5 4 32" xfId="22645"/>
    <cellStyle name="20% - Accent6 5 4 32 2" xfId="45420"/>
    <cellStyle name="20% - Accent6 5 4 33" xfId="23444"/>
    <cellStyle name="20% - Accent6 5 4 4" xfId="4933"/>
    <cellStyle name="20% - Accent6 5 4 4 2" xfId="27708"/>
    <cellStyle name="20% - Accent6 5 4 5" xfId="5589"/>
    <cellStyle name="20% - Accent6 5 4 5 2" xfId="28364"/>
    <cellStyle name="20% - Accent6 5 4 6" xfId="6245"/>
    <cellStyle name="20% - Accent6 5 4 6 2" xfId="29020"/>
    <cellStyle name="20% - Accent6 5 4 7" xfId="2965"/>
    <cellStyle name="20% - Accent6 5 4 7 2" xfId="25740"/>
    <cellStyle name="20% - Accent6 5 4 8" xfId="6901"/>
    <cellStyle name="20% - Accent6 5 4 8 2" xfId="29676"/>
    <cellStyle name="20% - Accent6 5 4 9" xfId="7557"/>
    <cellStyle name="20% - Accent6 5 4 9 2" xfId="30332"/>
    <cellStyle name="20% - Accent6 5 5" xfId="342"/>
    <cellStyle name="20% - Accent6 5 5 2" xfId="2637"/>
    <cellStyle name="20% - Accent6 5 5 2 2" xfId="25412"/>
    <cellStyle name="20% - Accent6 5 5 3" xfId="23116"/>
    <cellStyle name="20% - Accent6 5 6" xfId="997"/>
    <cellStyle name="20% - Accent6 5 6 2" xfId="3293"/>
    <cellStyle name="20% - Accent6 5 6 2 2" xfId="26068"/>
    <cellStyle name="20% - Accent6 5 6 3" xfId="23772"/>
    <cellStyle name="20% - Accent6 5 7" xfId="1653"/>
    <cellStyle name="20% - Accent6 5 7 2" xfId="3949"/>
    <cellStyle name="20% - Accent6 5 7 2 2" xfId="26724"/>
    <cellStyle name="20% - Accent6 5 7 3" xfId="24428"/>
    <cellStyle name="20% - Accent6 5 8" xfId="4605"/>
    <cellStyle name="20% - Accent6 5 8 2" xfId="27380"/>
    <cellStyle name="20% - Accent6 5 9" xfId="5261"/>
    <cellStyle name="20% - Accent6 5 9 2" xfId="28036"/>
    <cellStyle name="20% - Accent6 6" xfId="124"/>
    <cellStyle name="20% - Accent6 6 10" xfId="2322"/>
    <cellStyle name="20% - Accent6 6 10 2" xfId="25097"/>
    <cellStyle name="20% - Accent6 6 11" xfId="6586"/>
    <cellStyle name="20% - Accent6 6 11 2" xfId="29361"/>
    <cellStyle name="20% - Accent6 6 12" xfId="7242"/>
    <cellStyle name="20% - Accent6 6 12 2" xfId="30017"/>
    <cellStyle name="20% - Accent6 6 13" xfId="7898"/>
    <cellStyle name="20% - Accent6 6 13 2" xfId="30673"/>
    <cellStyle name="20% - Accent6 6 14" xfId="8554"/>
    <cellStyle name="20% - Accent6 6 14 2" xfId="31329"/>
    <cellStyle name="20% - Accent6 6 15" xfId="9210"/>
    <cellStyle name="20% - Accent6 6 15 2" xfId="31985"/>
    <cellStyle name="20% - Accent6 6 16" xfId="9866"/>
    <cellStyle name="20% - Accent6 6 16 2" xfId="32641"/>
    <cellStyle name="20% - Accent6 6 17" xfId="10522"/>
    <cellStyle name="20% - Accent6 6 17 2" xfId="33297"/>
    <cellStyle name="20% - Accent6 6 18" xfId="11178"/>
    <cellStyle name="20% - Accent6 6 18 2" xfId="33953"/>
    <cellStyle name="20% - Accent6 6 19" xfId="11834"/>
    <cellStyle name="20% - Accent6 6 19 2" xfId="34609"/>
    <cellStyle name="20% - Accent6 6 2" xfId="538"/>
    <cellStyle name="20% - Accent6 6 2 10" xfId="6771"/>
    <cellStyle name="20% - Accent6 6 2 10 2" xfId="29546"/>
    <cellStyle name="20% - Accent6 6 2 11" xfId="7427"/>
    <cellStyle name="20% - Accent6 6 2 11 2" xfId="30202"/>
    <cellStyle name="20% - Accent6 6 2 12" xfId="8083"/>
    <cellStyle name="20% - Accent6 6 2 12 2" xfId="30858"/>
    <cellStyle name="20% - Accent6 6 2 13" xfId="8739"/>
    <cellStyle name="20% - Accent6 6 2 13 2" xfId="31514"/>
    <cellStyle name="20% - Accent6 6 2 14" xfId="9395"/>
    <cellStyle name="20% - Accent6 6 2 14 2" xfId="32170"/>
    <cellStyle name="20% - Accent6 6 2 15" xfId="10051"/>
    <cellStyle name="20% - Accent6 6 2 15 2" xfId="32826"/>
    <cellStyle name="20% - Accent6 6 2 16" xfId="10707"/>
    <cellStyle name="20% - Accent6 6 2 16 2" xfId="33482"/>
    <cellStyle name="20% - Accent6 6 2 17" xfId="11363"/>
    <cellStyle name="20% - Accent6 6 2 17 2" xfId="34138"/>
    <cellStyle name="20% - Accent6 6 2 18" xfId="12019"/>
    <cellStyle name="20% - Accent6 6 2 18 2" xfId="34794"/>
    <cellStyle name="20% - Accent6 6 2 19" xfId="12675"/>
    <cellStyle name="20% - Accent6 6 2 19 2" xfId="35450"/>
    <cellStyle name="20% - Accent6 6 2 2" xfId="867"/>
    <cellStyle name="20% - Accent6 6 2 2 10" xfId="8411"/>
    <cellStyle name="20% - Accent6 6 2 2 10 2" xfId="31186"/>
    <cellStyle name="20% - Accent6 6 2 2 11" xfId="9067"/>
    <cellStyle name="20% - Accent6 6 2 2 11 2" xfId="31842"/>
    <cellStyle name="20% - Accent6 6 2 2 12" xfId="9723"/>
    <cellStyle name="20% - Accent6 6 2 2 12 2" xfId="32498"/>
    <cellStyle name="20% - Accent6 6 2 2 13" xfId="10379"/>
    <cellStyle name="20% - Accent6 6 2 2 13 2" xfId="33154"/>
    <cellStyle name="20% - Accent6 6 2 2 14" xfId="11035"/>
    <cellStyle name="20% - Accent6 6 2 2 14 2" xfId="33810"/>
    <cellStyle name="20% - Accent6 6 2 2 15" xfId="11691"/>
    <cellStyle name="20% - Accent6 6 2 2 15 2" xfId="34466"/>
    <cellStyle name="20% - Accent6 6 2 2 16" xfId="12347"/>
    <cellStyle name="20% - Accent6 6 2 2 16 2" xfId="35122"/>
    <cellStyle name="20% - Accent6 6 2 2 17" xfId="13003"/>
    <cellStyle name="20% - Accent6 6 2 2 17 2" xfId="35778"/>
    <cellStyle name="20% - Accent6 6 2 2 18" xfId="13659"/>
    <cellStyle name="20% - Accent6 6 2 2 18 2" xfId="36434"/>
    <cellStyle name="20% - Accent6 6 2 2 19" xfId="14315"/>
    <cellStyle name="20% - Accent6 6 2 2 19 2" xfId="37090"/>
    <cellStyle name="20% - Accent6 6 2 2 2" xfId="1523"/>
    <cellStyle name="20% - Accent6 6 2 2 2 2" xfId="3819"/>
    <cellStyle name="20% - Accent6 6 2 2 2 2 2" xfId="26594"/>
    <cellStyle name="20% - Accent6 6 2 2 2 3" xfId="24298"/>
    <cellStyle name="20% - Accent6 6 2 2 20" xfId="14971"/>
    <cellStyle name="20% - Accent6 6 2 2 20 2" xfId="37746"/>
    <cellStyle name="20% - Accent6 6 2 2 21" xfId="15627"/>
    <cellStyle name="20% - Accent6 6 2 2 21 2" xfId="38402"/>
    <cellStyle name="20% - Accent6 6 2 2 22" xfId="16283"/>
    <cellStyle name="20% - Accent6 6 2 2 22 2" xfId="39058"/>
    <cellStyle name="20% - Accent6 6 2 2 23" xfId="16939"/>
    <cellStyle name="20% - Accent6 6 2 2 23 2" xfId="39714"/>
    <cellStyle name="20% - Accent6 6 2 2 24" xfId="17595"/>
    <cellStyle name="20% - Accent6 6 2 2 24 2" xfId="40370"/>
    <cellStyle name="20% - Accent6 6 2 2 25" xfId="18251"/>
    <cellStyle name="20% - Accent6 6 2 2 25 2" xfId="41026"/>
    <cellStyle name="20% - Accent6 6 2 2 26" xfId="18907"/>
    <cellStyle name="20% - Accent6 6 2 2 26 2" xfId="41682"/>
    <cellStyle name="20% - Accent6 6 2 2 27" xfId="19563"/>
    <cellStyle name="20% - Accent6 6 2 2 27 2" xfId="42338"/>
    <cellStyle name="20% - Accent6 6 2 2 28" xfId="20219"/>
    <cellStyle name="20% - Accent6 6 2 2 28 2" xfId="42994"/>
    <cellStyle name="20% - Accent6 6 2 2 29" xfId="20875"/>
    <cellStyle name="20% - Accent6 6 2 2 29 2" xfId="43650"/>
    <cellStyle name="20% - Accent6 6 2 2 3" xfId="2179"/>
    <cellStyle name="20% - Accent6 6 2 2 3 2" xfId="4475"/>
    <cellStyle name="20% - Accent6 6 2 2 3 2 2" xfId="27250"/>
    <cellStyle name="20% - Accent6 6 2 2 3 3" xfId="24954"/>
    <cellStyle name="20% - Accent6 6 2 2 30" xfId="21531"/>
    <cellStyle name="20% - Accent6 6 2 2 30 2" xfId="44306"/>
    <cellStyle name="20% - Accent6 6 2 2 31" xfId="22187"/>
    <cellStyle name="20% - Accent6 6 2 2 31 2" xfId="44962"/>
    <cellStyle name="20% - Accent6 6 2 2 32" xfId="22843"/>
    <cellStyle name="20% - Accent6 6 2 2 32 2" xfId="45618"/>
    <cellStyle name="20% - Accent6 6 2 2 33" xfId="23642"/>
    <cellStyle name="20% - Accent6 6 2 2 4" xfId="5131"/>
    <cellStyle name="20% - Accent6 6 2 2 4 2" xfId="27906"/>
    <cellStyle name="20% - Accent6 6 2 2 5" xfId="5787"/>
    <cellStyle name="20% - Accent6 6 2 2 5 2" xfId="28562"/>
    <cellStyle name="20% - Accent6 6 2 2 6" xfId="6443"/>
    <cellStyle name="20% - Accent6 6 2 2 6 2" xfId="29218"/>
    <cellStyle name="20% - Accent6 6 2 2 7" xfId="3163"/>
    <cellStyle name="20% - Accent6 6 2 2 7 2" xfId="25938"/>
    <cellStyle name="20% - Accent6 6 2 2 8" xfId="7099"/>
    <cellStyle name="20% - Accent6 6 2 2 8 2" xfId="29874"/>
    <cellStyle name="20% - Accent6 6 2 2 9" xfId="7755"/>
    <cellStyle name="20% - Accent6 6 2 2 9 2" xfId="30530"/>
    <cellStyle name="20% - Accent6 6 2 20" xfId="13331"/>
    <cellStyle name="20% - Accent6 6 2 20 2" xfId="36106"/>
    <cellStyle name="20% - Accent6 6 2 21" xfId="13987"/>
    <cellStyle name="20% - Accent6 6 2 21 2" xfId="36762"/>
    <cellStyle name="20% - Accent6 6 2 22" xfId="14643"/>
    <cellStyle name="20% - Accent6 6 2 22 2" xfId="37418"/>
    <cellStyle name="20% - Accent6 6 2 23" xfId="15299"/>
    <cellStyle name="20% - Accent6 6 2 23 2" xfId="38074"/>
    <cellStyle name="20% - Accent6 6 2 24" xfId="15955"/>
    <cellStyle name="20% - Accent6 6 2 24 2" xfId="38730"/>
    <cellStyle name="20% - Accent6 6 2 25" xfId="16611"/>
    <cellStyle name="20% - Accent6 6 2 25 2" xfId="39386"/>
    <cellStyle name="20% - Accent6 6 2 26" xfId="17267"/>
    <cellStyle name="20% - Accent6 6 2 26 2" xfId="40042"/>
    <cellStyle name="20% - Accent6 6 2 27" xfId="17923"/>
    <cellStyle name="20% - Accent6 6 2 27 2" xfId="40698"/>
    <cellStyle name="20% - Accent6 6 2 28" xfId="18579"/>
    <cellStyle name="20% - Accent6 6 2 28 2" xfId="41354"/>
    <cellStyle name="20% - Accent6 6 2 29" xfId="19235"/>
    <cellStyle name="20% - Accent6 6 2 29 2" xfId="42010"/>
    <cellStyle name="20% - Accent6 6 2 3" xfId="1195"/>
    <cellStyle name="20% - Accent6 6 2 3 2" xfId="2835"/>
    <cellStyle name="20% - Accent6 6 2 3 2 2" xfId="25610"/>
    <cellStyle name="20% - Accent6 6 2 3 3" xfId="23970"/>
    <cellStyle name="20% - Accent6 6 2 30" xfId="19891"/>
    <cellStyle name="20% - Accent6 6 2 30 2" xfId="42666"/>
    <cellStyle name="20% - Accent6 6 2 31" xfId="20547"/>
    <cellStyle name="20% - Accent6 6 2 31 2" xfId="43322"/>
    <cellStyle name="20% - Accent6 6 2 32" xfId="21203"/>
    <cellStyle name="20% - Accent6 6 2 32 2" xfId="43978"/>
    <cellStyle name="20% - Accent6 6 2 33" xfId="21859"/>
    <cellStyle name="20% - Accent6 6 2 33 2" xfId="44634"/>
    <cellStyle name="20% - Accent6 6 2 34" xfId="22515"/>
    <cellStyle name="20% - Accent6 6 2 34 2" xfId="45290"/>
    <cellStyle name="20% - Accent6 6 2 35" xfId="23314"/>
    <cellStyle name="20% - Accent6 6 2 4" xfId="1851"/>
    <cellStyle name="20% - Accent6 6 2 4 2" xfId="3491"/>
    <cellStyle name="20% - Accent6 6 2 4 2 2" xfId="26266"/>
    <cellStyle name="20% - Accent6 6 2 4 3" xfId="24626"/>
    <cellStyle name="20% - Accent6 6 2 5" xfId="4147"/>
    <cellStyle name="20% - Accent6 6 2 5 2" xfId="26922"/>
    <cellStyle name="20% - Accent6 6 2 6" xfId="4803"/>
    <cellStyle name="20% - Accent6 6 2 6 2" xfId="27578"/>
    <cellStyle name="20% - Accent6 6 2 7" xfId="5459"/>
    <cellStyle name="20% - Accent6 6 2 7 2" xfId="28234"/>
    <cellStyle name="20% - Accent6 6 2 8" xfId="6115"/>
    <cellStyle name="20% - Accent6 6 2 8 2" xfId="28890"/>
    <cellStyle name="20% - Accent6 6 2 9" xfId="2507"/>
    <cellStyle name="20% - Accent6 6 2 9 2" xfId="25282"/>
    <cellStyle name="20% - Accent6 6 20" xfId="12490"/>
    <cellStyle name="20% - Accent6 6 20 2" xfId="35265"/>
    <cellStyle name="20% - Accent6 6 21" xfId="13146"/>
    <cellStyle name="20% - Accent6 6 21 2" xfId="35921"/>
    <cellStyle name="20% - Accent6 6 22" xfId="13802"/>
    <cellStyle name="20% - Accent6 6 22 2" xfId="36577"/>
    <cellStyle name="20% - Accent6 6 23" xfId="14458"/>
    <cellStyle name="20% - Accent6 6 23 2" xfId="37233"/>
    <cellStyle name="20% - Accent6 6 24" xfId="15114"/>
    <cellStyle name="20% - Accent6 6 24 2" xfId="37889"/>
    <cellStyle name="20% - Accent6 6 25" xfId="15770"/>
    <cellStyle name="20% - Accent6 6 25 2" xfId="38545"/>
    <cellStyle name="20% - Accent6 6 26" xfId="16426"/>
    <cellStyle name="20% - Accent6 6 26 2" xfId="39201"/>
    <cellStyle name="20% - Accent6 6 27" xfId="17082"/>
    <cellStyle name="20% - Accent6 6 27 2" xfId="39857"/>
    <cellStyle name="20% - Accent6 6 28" xfId="17738"/>
    <cellStyle name="20% - Accent6 6 28 2" xfId="40513"/>
    <cellStyle name="20% - Accent6 6 29" xfId="18394"/>
    <cellStyle name="20% - Accent6 6 29 2" xfId="41169"/>
    <cellStyle name="20% - Accent6 6 3" xfId="682"/>
    <cellStyle name="20% - Accent6 6 3 10" xfId="8226"/>
    <cellStyle name="20% - Accent6 6 3 10 2" xfId="31001"/>
    <cellStyle name="20% - Accent6 6 3 11" xfId="8882"/>
    <cellStyle name="20% - Accent6 6 3 11 2" xfId="31657"/>
    <cellStyle name="20% - Accent6 6 3 12" xfId="9538"/>
    <cellStyle name="20% - Accent6 6 3 12 2" xfId="32313"/>
    <cellStyle name="20% - Accent6 6 3 13" xfId="10194"/>
    <cellStyle name="20% - Accent6 6 3 13 2" xfId="32969"/>
    <cellStyle name="20% - Accent6 6 3 14" xfId="10850"/>
    <cellStyle name="20% - Accent6 6 3 14 2" xfId="33625"/>
    <cellStyle name="20% - Accent6 6 3 15" xfId="11506"/>
    <cellStyle name="20% - Accent6 6 3 15 2" xfId="34281"/>
    <cellStyle name="20% - Accent6 6 3 16" xfId="12162"/>
    <cellStyle name="20% - Accent6 6 3 16 2" xfId="34937"/>
    <cellStyle name="20% - Accent6 6 3 17" xfId="12818"/>
    <cellStyle name="20% - Accent6 6 3 17 2" xfId="35593"/>
    <cellStyle name="20% - Accent6 6 3 18" xfId="13474"/>
    <cellStyle name="20% - Accent6 6 3 18 2" xfId="36249"/>
    <cellStyle name="20% - Accent6 6 3 19" xfId="14130"/>
    <cellStyle name="20% - Accent6 6 3 19 2" xfId="36905"/>
    <cellStyle name="20% - Accent6 6 3 2" xfId="1338"/>
    <cellStyle name="20% - Accent6 6 3 2 2" xfId="3634"/>
    <cellStyle name="20% - Accent6 6 3 2 2 2" xfId="26409"/>
    <cellStyle name="20% - Accent6 6 3 2 3" xfId="24113"/>
    <cellStyle name="20% - Accent6 6 3 20" xfId="14786"/>
    <cellStyle name="20% - Accent6 6 3 20 2" xfId="37561"/>
    <cellStyle name="20% - Accent6 6 3 21" xfId="15442"/>
    <cellStyle name="20% - Accent6 6 3 21 2" xfId="38217"/>
    <cellStyle name="20% - Accent6 6 3 22" xfId="16098"/>
    <cellStyle name="20% - Accent6 6 3 22 2" xfId="38873"/>
    <cellStyle name="20% - Accent6 6 3 23" xfId="16754"/>
    <cellStyle name="20% - Accent6 6 3 23 2" xfId="39529"/>
    <cellStyle name="20% - Accent6 6 3 24" xfId="17410"/>
    <cellStyle name="20% - Accent6 6 3 24 2" xfId="40185"/>
    <cellStyle name="20% - Accent6 6 3 25" xfId="18066"/>
    <cellStyle name="20% - Accent6 6 3 25 2" xfId="40841"/>
    <cellStyle name="20% - Accent6 6 3 26" xfId="18722"/>
    <cellStyle name="20% - Accent6 6 3 26 2" xfId="41497"/>
    <cellStyle name="20% - Accent6 6 3 27" xfId="19378"/>
    <cellStyle name="20% - Accent6 6 3 27 2" xfId="42153"/>
    <cellStyle name="20% - Accent6 6 3 28" xfId="20034"/>
    <cellStyle name="20% - Accent6 6 3 28 2" xfId="42809"/>
    <cellStyle name="20% - Accent6 6 3 29" xfId="20690"/>
    <cellStyle name="20% - Accent6 6 3 29 2" xfId="43465"/>
    <cellStyle name="20% - Accent6 6 3 3" xfId="1994"/>
    <cellStyle name="20% - Accent6 6 3 3 2" xfId="4290"/>
    <cellStyle name="20% - Accent6 6 3 3 2 2" xfId="27065"/>
    <cellStyle name="20% - Accent6 6 3 3 3" xfId="24769"/>
    <cellStyle name="20% - Accent6 6 3 30" xfId="21346"/>
    <cellStyle name="20% - Accent6 6 3 30 2" xfId="44121"/>
    <cellStyle name="20% - Accent6 6 3 31" xfId="22002"/>
    <cellStyle name="20% - Accent6 6 3 31 2" xfId="44777"/>
    <cellStyle name="20% - Accent6 6 3 32" xfId="22658"/>
    <cellStyle name="20% - Accent6 6 3 32 2" xfId="45433"/>
    <cellStyle name="20% - Accent6 6 3 33" xfId="23457"/>
    <cellStyle name="20% - Accent6 6 3 4" xfId="4946"/>
    <cellStyle name="20% - Accent6 6 3 4 2" xfId="27721"/>
    <cellStyle name="20% - Accent6 6 3 5" xfId="5602"/>
    <cellStyle name="20% - Accent6 6 3 5 2" xfId="28377"/>
    <cellStyle name="20% - Accent6 6 3 6" xfId="6258"/>
    <cellStyle name="20% - Accent6 6 3 6 2" xfId="29033"/>
    <cellStyle name="20% - Accent6 6 3 7" xfId="2978"/>
    <cellStyle name="20% - Accent6 6 3 7 2" xfId="25753"/>
    <cellStyle name="20% - Accent6 6 3 8" xfId="6914"/>
    <cellStyle name="20% - Accent6 6 3 8 2" xfId="29689"/>
    <cellStyle name="20% - Accent6 6 3 9" xfId="7570"/>
    <cellStyle name="20% - Accent6 6 3 9 2" xfId="30345"/>
    <cellStyle name="20% - Accent6 6 30" xfId="19050"/>
    <cellStyle name="20% - Accent6 6 30 2" xfId="41825"/>
    <cellStyle name="20% - Accent6 6 31" xfId="19706"/>
    <cellStyle name="20% - Accent6 6 31 2" xfId="42481"/>
    <cellStyle name="20% - Accent6 6 32" xfId="20362"/>
    <cellStyle name="20% - Accent6 6 32 2" xfId="43137"/>
    <cellStyle name="20% - Accent6 6 33" xfId="21018"/>
    <cellStyle name="20% - Accent6 6 33 2" xfId="43793"/>
    <cellStyle name="20% - Accent6 6 34" xfId="21674"/>
    <cellStyle name="20% - Accent6 6 34 2" xfId="44449"/>
    <cellStyle name="20% - Accent6 6 35" xfId="22330"/>
    <cellStyle name="20% - Accent6 6 35 2" xfId="45105"/>
    <cellStyle name="20% - Accent6 6 36" xfId="269"/>
    <cellStyle name="20% - Accent6 6 37" xfId="22986"/>
    <cellStyle name="20% - Accent6 6 4" xfId="355"/>
    <cellStyle name="20% - Accent6 6 4 2" xfId="2650"/>
    <cellStyle name="20% - Accent6 6 4 2 2" xfId="25425"/>
    <cellStyle name="20% - Accent6 6 4 3" xfId="23129"/>
    <cellStyle name="20% - Accent6 6 5" xfId="1010"/>
    <cellStyle name="20% - Accent6 6 5 2" xfId="3306"/>
    <cellStyle name="20% - Accent6 6 5 2 2" xfId="26081"/>
    <cellStyle name="20% - Accent6 6 5 3" xfId="23785"/>
    <cellStyle name="20% - Accent6 6 6" xfId="1666"/>
    <cellStyle name="20% - Accent6 6 6 2" xfId="3962"/>
    <cellStyle name="20% - Accent6 6 6 2 2" xfId="26737"/>
    <cellStyle name="20% - Accent6 6 6 3" xfId="24441"/>
    <cellStyle name="20% - Accent6 6 7" xfId="4618"/>
    <cellStyle name="20% - Accent6 6 7 2" xfId="27393"/>
    <cellStyle name="20% - Accent6 6 8" xfId="5274"/>
    <cellStyle name="20% - Accent6 6 8 2" xfId="28049"/>
    <cellStyle name="20% - Accent6 6 9" xfId="5930"/>
    <cellStyle name="20% - Accent6 6 9 2" xfId="28705"/>
    <cellStyle name="20% - Accent6 7" xfId="428"/>
    <cellStyle name="20% - Accent6 7 10" xfId="6659"/>
    <cellStyle name="20% - Accent6 7 10 2" xfId="29434"/>
    <cellStyle name="20% - Accent6 7 11" xfId="7315"/>
    <cellStyle name="20% - Accent6 7 11 2" xfId="30090"/>
    <cellStyle name="20% - Accent6 7 12" xfId="7971"/>
    <cellStyle name="20% - Accent6 7 12 2" xfId="30746"/>
    <cellStyle name="20% - Accent6 7 13" xfId="8627"/>
    <cellStyle name="20% - Accent6 7 13 2" xfId="31402"/>
    <cellStyle name="20% - Accent6 7 14" xfId="9283"/>
    <cellStyle name="20% - Accent6 7 14 2" xfId="32058"/>
    <cellStyle name="20% - Accent6 7 15" xfId="9939"/>
    <cellStyle name="20% - Accent6 7 15 2" xfId="32714"/>
    <cellStyle name="20% - Accent6 7 16" xfId="10595"/>
    <cellStyle name="20% - Accent6 7 16 2" xfId="33370"/>
    <cellStyle name="20% - Accent6 7 17" xfId="11251"/>
    <cellStyle name="20% - Accent6 7 17 2" xfId="34026"/>
    <cellStyle name="20% - Accent6 7 18" xfId="11907"/>
    <cellStyle name="20% - Accent6 7 18 2" xfId="34682"/>
    <cellStyle name="20% - Accent6 7 19" xfId="12563"/>
    <cellStyle name="20% - Accent6 7 19 2" xfId="35338"/>
    <cellStyle name="20% - Accent6 7 2" xfId="755"/>
    <cellStyle name="20% - Accent6 7 2 10" xfId="8299"/>
    <cellStyle name="20% - Accent6 7 2 10 2" xfId="31074"/>
    <cellStyle name="20% - Accent6 7 2 11" xfId="8955"/>
    <cellStyle name="20% - Accent6 7 2 11 2" xfId="31730"/>
    <cellStyle name="20% - Accent6 7 2 12" xfId="9611"/>
    <cellStyle name="20% - Accent6 7 2 12 2" xfId="32386"/>
    <cellStyle name="20% - Accent6 7 2 13" xfId="10267"/>
    <cellStyle name="20% - Accent6 7 2 13 2" xfId="33042"/>
    <cellStyle name="20% - Accent6 7 2 14" xfId="10923"/>
    <cellStyle name="20% - Accent6 7 2 14 2" xfId="33698"/>
    <cellStyle name="20% - Accent6 7 2 15" xfId="11579"/>
    <cellStyle name="20% - Accent6 7 2 15 2" xfId="34354"/>
    <cellStyle name="20% - Accent6 7 2 16" xfId="12235"/>
    <cellStyle name="20% - Accent6 7 2 16 2" xfId="35010"/>
    <cellStyle name="20% - Accent6 7 2 17" xfId="12891"/>
    <cellStyle name="20% - Accent6 7 2 17 2" xfId="35666"/>
    <cellStyle name="20% - Accent6 7 2 18" xfId="13547"/>
    <cellStyle name="20% - Accent6 7 2 18 2" xfId="36322"/>
    <cellStyle name="20% - Accent6 7 2 19" xfId="14203"/>
    <cellStyle name="20% - Accent6 7 2 19 2" xfId="36978"/>
    <cellStyle name="20% - Accent6 7 2 2" xfId="1411"/>
    <cellStyle name="20% - Accent6 7 2 2 2" xfId="3707"/>
    <cellStyle name="20% - Accent6 7 2 2 2 2" xfId="26482"/>
    <cellStyle name="20% - Accent6 7 2 2 3" xfId="24186"/>
    <cellStyle name="20% - Accent6 7 2 20" xfId="14859"/>
    <cellStyle name="20% - Accent6 7 2 20 2" xfId="37634"/>
    <cellStyle name="20% - Accent6 7 2 21" xfId="15515"/>
    <cellStyle name="20% - Accent6 7 2 21 2" xfId="38290"/>
    <cellStyle name="20% - Accent6 7 2 22" xfId="16171"/>
    <cellStyle name="20% - Accent6 7 2 22 2" xfId="38946"/>
    <cellStyle name="20% - Accent6 7 2 23" xfId="16827"/>
    <cellStyle name="20% - Accent6 7 2 23 2" xfId="39602"/>
    <cellStyle name="20% - Accent6 7 2 24" xfId="17483"/>
    <cellStyle name="20% - Accent6 7 2 24 2" xfId="40258"/>
    <cellStyle name="20% - Accent6 7 2 25" xfId="18139"/>
    <cellStyle name="20% - Accent6 7 2 25 2" xfId="40914"/>
    <cellStyle name="20% - Accent6 7 2 26" xfId="18795"/>
    <cellStyle name="20% - Accent6 7 2 26 2" xfId="41570"/>
    <cellStyle name="20% - Accent6 7 2 27" xfId="19451"/>
    <cellStyle name="20% - Accent6 7 2 27 2" xfId="42226"/>
    <cellStyle name="20% - Accent6 7 2 28" xfId="20107"/>
    <cellStyle name="20% - Accent6 7 2 28 2" xfId="42882"/>
    <cellStyle name="20% - Accent6 7 2 29" xfId="20763"/>
    <cellStyle name="20% - Accent6 7 2 29 2" xfId="43538"/>
    <cellStyle name="20% - Accent6 7 2 3" xfId="2067"/>
    <cellStyle name="20% - Accent6 7 2 3 2" xfId="4363"/>
    <cellStyle name="20% - Accent6 7 2 3 2 2" xfId="27138"/>
    <cellStyle name="20% - Accent6 7 2 3 3" xfId="24842"/>
    <cellStyle name="20% - Accent6 7 2 30" xfId="21419"/>
    <cellStyle name="20% - Accent6 7 2 30 2" xfId="44194"/>
    <cellStyle name="20% - Accent6 7 2 31" xfId="22075"/>
    <cellStyle name="20% - Accent6 7 2 31 2" xfId="44850"/>
    <cellStyle name="20% - Accent6 7 2 32" xfId="22731"/>
    <cellStyle name="20% - Accent6 7 2 32 2" xfId="45506"/>
    <cellStyle name="20% - Accent6 7 2 33" xfId="23530"/>
    <cellStyle name="20% - Accent6 7 2 4" xfId="5019"/>
    <cellStyle name="20% - Accent6 7 2 4 2" xfId="27794"/>
    <cellStyle name="20% - Accent6 7 2 5" xfId="5675"/>
    <cellStyle name="20% - Accent6 7 2 5 2" xfId="28450"/>
    <cellStyle name="20% - Accent6 7 2 6" xfId="6331"/>
    <cellStyle name="20% - Accent6 7 2 6 2" xfId="29106"/>
    <cellStyle name="20% - Accent6 7 2 7" xfId="3051"/>
    <cellStyle name="20% - Accent6 7 2 7 2" xfId="25826"/>
    <cellStyle name="20% - Accent6 7 2 8" xfId="6987"/>
    <cellStyle name="20% - Accent6 7 2 8 2" xfId="29762"/>
    <cellStyle name="20% - Accent6 7 2 9" xfId="7643"/>
    <cellStyle name="20% - Accent6 7 2 9 2" xfId="30418"/>
    <cellStyle name="20% - Accent6 7 20" xfId="13219"/>
    <cellStyle name="20% - Accent6 7 20 2" xfId="35994"/>
    <cellStyle name="20% - Accent6 7 21" xfId="13875"/>
    <cellStyle name="20% - Accent6 7 21 2" xfId="36650"/>
    <cellStyle name="20% - Accent6 7 22" xfId="14531"/>
    <cellStyle name="20% - Accent6 7 22 2" xfId="37306"/>
    <cellStyle name="20% - Accent6 7 23" xfId="15187"/>
    <cellStyle name="20% - Accent6 7 23 2" xfId="37962"/>
    <cellStyle name="20% - Accent6 7 24" xfId="15843"/>
    <cellStyle name="20% - Accent6 7 24 2" xfId="38618"/>
    <cellStyle name="20% - Accent6 7 25" xfId="16499"/>
    <cellStyle name="20% - Accent6 7 25 2" xfId="39274"/>
    <cellStyle name="20% - Accent6 7 26" xfId="17155"/>
    <cellStyle name="20% - Accent6 7 26 2" xfId="39930"/>
    <cellStyle name="20% - Accent6 7 27" xfId="17811"/>
    <cellStyle name="20% - Accent6 7 27 2" xfId="40586"/>
    <cellStyle name="20% - Accent6 7 28" xfId="18467"/>
    <cellStyle name="20% - Accent6 7 28 2" xfId="41242"/>
    <cellStyle name="20% - Accent6 7 29" xfId="19123"/>
    <cellStyle name="20% - Accent6 7 29 2" xfId="41898"/>
    <cellStyle name="20% - Accent6 7 3" xfId="1083"/>
    <cellStyle name="20% - Accent6 7 3 2" xfId="2723"/>
    <cellStyle name="20% - Accent6 7 3 2 2" xfId="25498"/>
    <cellStyle name="20% - Accent6 7 3 3" xfId="23858"/>
    <cellStyle name="20% - Accent6 7 30" xfId="19779"/>
    <cellStyle name="20% - Accent6 7 30 2" xfId="42554"/>
    <cellStyle name="20% - Accent6 7 31" xfId="20435"/>
    <cellStyle name="20% - Accent6 7 31 2" xfId="43210"/>
    <cellStyle name="20% - Accent6 7 32" xfId="21091"/>
    <cellStyle name="20% - Accent6 7 32 2" xfId="43866"/>
    <cellStyle name="20% - Accent6 7 33" xfId="21747"/>
    <cellStyle name="20% - Accent6 7 33 2" xfId="44522"/>
    <cellStyle name="20% - Accent6 7 34" xfId="22403"/>
    <cellStyle name="20% - Accent6 7 34 2" xfId="45178"/>
    <cellStyle name="20% - Accent6 7 35" xfId="23202"/>
    <cellStyle name="20% - Accent6 7 4" xfId="1739"/>
    <cellStyle name="20% - Accent6 7 4 2" xfId="3379"/>
    <cellStyle name="20% - Accent6 7 4 2 2" xfId="26154"/>
    <cellStyle name="20% - Accent6 7 4 3" xfId="24514"/>
    <cellStyle name="20% - Accent6 7 5" xfId="4035"/>
    <cellStyle name="20% - Accent6 7 5 2" xfId="26810"/>
    <cellStyle name="20% - Accent6 7 6" xfId="4691"/>
    <cellStyle name="20% - Accent6 7 6 2" xfId="27466"/>
    <cellStyle name="20% - Accent6 7 7" xfId="5347"/>
    <cellStyle name="20% - Accent6 7 7 2" xfId="28122"/>
    <cellStyle name="20% - Accent6 7 8" xfId="6003"/>
    <cellStyle name="20% - Accent6 7 8 2" xfId="28778"/>
    <cellStyle name="20% - Accent6 7 9" xfId="2395"/>
    <cellStyle name="20% - Accent6 7 9 2" xfId="25170"/>
    <cellStyle name="20% - Accent6 8" xfId="442"/>
    <cellStyle name="20% - Accent6 8 10" xfId="6673"/>
    <cellStyle name="20% - Accent6 8 10 2" xfId="29448"/>
    <cellStyle name="20% - Accent6 8 11" xfId="7329"/>
    <cellStyle name="20% - Accent6 8 11 2" xfId="30104"/>
    <cellStyle name="20% - Accent6 8 12" xfId="7985"/>
    <cellStyle name="20% - Accent6 8 12 2" xfId="30760"/>
    <cellStyle name="20% - Accent6 8 13" xfId="8641"/>
    <cellStyle name="20% - Accent6 8 13 2" xfId="31416"/>
    <cellStyle name="20% - Accent6 8 14" xfId="9297"/>
    <cellStyle name="20% - Accent6 8 14 2" xfId="32072"/>
    <cellStyle name="20% - Accent6 8 15" xfId="9953"/>
    <cellStyle name="20% - Accent6 8 15 2" xfId="32728"/>
    <cellStyle name="20% - Accent6 8 16" xfId="10609"/>
    <cellStyle name="20% - Accent6 8 16 2" xfId="33384"/>
    <cellStyle name="20% - Accent6 8 17" xfId="11265"/>
    <cellStyle name="20% - Accent6 8 17 2" xfId="34040"/>
    <cellStyle name="20% - Accent6 8 18" xfId="11921"/>
    <cellStyle name="20% - Accent6 8 18 2" xfId="34696"/>
    <cellStyle name="20% - Accent6 8 19" xfId="12577"/>
    <cellStyle name="20% - Accent6 8 19 2" xfId="35352"/>
    <cellStyle name="20% - Accent6 8 2" xfId="769"/>
    <cellStyle name="20% - Accent6 8 2 10" xfId="8313"/>
    <cellStyle name="20% - Accent6 8 2 10 2" xfId="31088"/>
    <cellStyle name="20% - Accent6 8 2 11" xfId="8969"/>
    <cellStyle name="20% - Accent6 8 2 11 2" xfId="31744"/>
    <cellStyle name="20% - Accent6 8 2 12" xfId="9625"/>
    <cellStyle name="20% - Accent6 8 2 12 2" xfId="32400"/>
    <cellStyle name="20% - Accent6 8 2 13" xfId="10281"/>
    <cellStyle name="20% - Accent6 8 2 13 2" xfId="33056"/>
    <cellStyle name="20% - Accent6 8 2 14" xfId="10937"/>
    <cellStyle name="20% - Accent6 8 2 14 2" xfId="33712"/>
    <cellStyle name="20% - Accent6 8 2 15" xfId="11593"/>
    <cellStyle name="20% - Accent6 8 2 15 2" xfId="34368"/>
    <cellStyle name="20% - Accent6 8 2 16" xfId="12249"/>
    <cellStyle name="20% - Accent6 8 2 16 2" xfId="35024"/>
    <cellStyle name="20% - Accent6 8 2 17" xfId="12905"/>
    <cellStyle name="20% - Accent6 8 2 17 2" xfId="35680"/>
    <cellStyle name="20% - Accent6 8 2 18" xfId="13561"/>
    <cellStyle name="20% - Accent6 8 2 18 2" xfId="36336"/>
    <cellStyle name="20% - Accent6 8 2 19" xfId="14217"/>
    <cellStyle name="20% - Accent6 8 2 19 2" xfId="36992"/>
    <cellStyle name="20% - Accent6 8 2 2" xfId="1425"/>
    <cellStyle name="20% - Accent6 8 2 2 2" xfId="3721"/>
    <cellStyle name="20% - Accent6 8 2 2 2 2" xfId="26496"/>
    <cellStyle name="20% - Accent6 8 2 2 3" xfId="24200"/>
    <cellStyle name="20% - Accent6 8 2 20" xfId="14873"/>
    <cellStyle name="20% - Accent6 8 2 20 2" xfId="37648"/>
    <cellStyle name="20% - Accent6 8 2 21" xfId="15529"/>
    <cellStyle name="20% - Accent6 8 2 21 2" xfId="38304"/>
    <cellStyle name="20% - Accent6 8 2 22" xfId="16185"/>
    <cellStyle name="20% - Accent6 8 2 22 2" xfId="38960"/>
    <cellStyle name="20% - Accent6 8 2 23" xfId="16841"/>
    <cellStyle name="20% - Accent6 8 2 23 2" xfId="39616"/>
    <cellStyle name="20% - Accent6 8 2 24" xfId="17497"/>
    <cellStyle name="20% - Accent6 8 2 24 2" xfId="40272"/>
    <cellStyle name="20% - Accent6 8 2 25" xfId="18153"/>
    <cellStyle name="20% - Accent6 8 2 25 2" xfId="40928"/>
    <cellStyle name="20% - Accent6 8 2 26" xfId="18809"/>
    <cellStyle name="20% - Accent6 8 2 26 2" xfId="41584"/>
    <cellStyle name="20% - Accent6 8 2 27" xfId="19465"/>
    <cellStyle name="20% - Accent6 8 2 27 2" xfId="42240"/>
    <cellStyle name="20% - Accent6 8 2 28" xfId="20121"/>
    <cellStyle name="20% - Accent6 8 2 28 2" xfId="42896"/>
    <cellStyle name="20% - Accent6 8 2 29" xfId="20777"/>
    <cellStyle name="20% - Accent6 8 2 29 2" xfId="43552"/>
    <cellStyle name="20% - Accent6 8 2 3" xfId="2081"/>
    <cellStyle name="20% - Accent6 8 2 3 2" xfId="4377"/>
    <cellStyle name="20% - Accent6 8 2 3 2 2" xfId="27152"/>
    <cellStyle name="20% - Accent6 8 2 3 3" xfId="24856"/>
    <cellStyle name="20% - Accent6 8 2 30" xfId="21433"/>
    <cellStyle name="20% - Accent6 8 2 30 2" xfId="44208"/>
    <cellStyle name="20% - Accent6 8 2 31" xfId="22089"/>
    <cellStyle name="20% - Accent6 8 2 31 2" xfId="44864"/>
    <cellStyle name="20% - Accent6 8 2 32" xfId="22745"/>
    <cellStyle name="20% - Accent6 8 2 32 2" xfId="45520"/>
    <cellStyle name="20% - Accent6 8 2 33" xfId="23544"/>
    <cellStyle name="20% - Accent6 8 2 4" xfId="5033"/>
    <cellStyle name="20% - Accent6 8 2 4 2" xfId="27808"/>
    <cellStyle name="20% - Accent6 8 2 5" xfId="5689"/>
    <cellStyle name="20% - Accent6 8 2 5 2" xfId="28464"/>
    <cellStyle name="20% - Accent6 8 2 6" xfId="6345"/>
    <cellStyle name="20% - Accent6 8 2 6 2" xfId="29120"/>
    <cellStyle name="20% - Accent6 8 2 7" xfId="3065"/>
    <cellStyle name="20% - Accent6 8 2 7 2" xfId="25840"/>
    <cellStyle name="20% - Accent6 8 2 8" xfId="7001"/>
    <cellStyle name="20% - Accent6 8 2 8 2" xfId="29776"/>
    <cellStyle name="20% - Accent6 8 2 9" xfId="7657"/>
    <cellStyle name="20% - Accent6 8 2 9 2" xfId="30432"/>
    <cellStyle name="20% - Accent6 8 20" xfId="13233"/>
    <cellStyle name="20% - Accent6 8 20 2" xfId="36008"/>
    <cellStyle name="20% - Accent6 8 21" xfId="13889"/>
    <cellStyle name="20% - Accent6 8 21 2" xfId="36664"/>
    <cellStyle name="20% - Accent6 8 22" xfId="14545"/>
    <cellStyle name="20% - Accent6 8 22 2" xfId="37320"/>
    <cellStyle name="20% - Accent6 8 23" xfId="15201"/>
    <cellStyle name="20% - Accent6 8 23 2" xfId="37976"/>
    <cellStyle name="20% - Accent6 8 24" xfId="15857"/>
    <cellStyle name="20% - Accent6 8 24 2" xfId="38632"/>
    <cellStyle name="20% - Accent6 8 25" xfId="16513"/>
    <cellStyle name="20% - Accent6 8 25 2" xfId="39288"/>
    <cellStyle name="20% - Accent6 8 26" xfId="17169"/>
    <cellStyle name="20% - Accent6 8 26 2" xfId="39944"/>
    <cellStyle name="20% - Accent6 8 27" xfId="17825"/>
    <cellStyle name="20% - Accent6 8 27 2" xfId="40600"/>
    <cellStyle name="20% - Accent6 8 28" xfId="18481"/>
    <cellStyle name="20% - Accent6 8 28 2" xfId="41256"/>
    <cellStyle name="20% - Accent6 8 29" xfId="19137"/>
    <cellStyle name="20% - Accent6 8 29 2" xfId="41912"/>
    <cellStyle name="20% - Accent6 8 3" xfId="1097"/>
    <cellStyle name="20% - Accent6 8 3 2" xfId="2737"/>
    <cellStyle name="20% - Accent6 8 3 2 2" xfId="25512"/>
    <cellStyle name="20% - Accent6 8 3 3" xfId="23872"/>
    <cellStyle name="20% - Accent6 8 30" xfId="19793"/>
    <cellStyle name="20% - Accent6 8 30 2" xfId="42568"/>
    <cellStyle name="20% - Accent6 8 31" xfId="20449"/>
    <cellStyle name="20% - Accent6 8 31 2" xfId="43224"/>
    <cellStyle name="20% - Accent6 8 32" xfId="21105"/>
    <cellStyle name="20% - Accent6 8 32 2" xfId="43880"/>
    <cellStyle name="20% - Accent6 8 33" xfId="21761"/>
    <cellStyle name="20% - Accent6 8 33 2" xfId="44536"/>
    <cellStyle name="20% - Accent6 8 34" xfId="22417"/>
    <cellStyle name="20% - Accent6 8 34 2" xfId="45192"/>
    <cellStyle name="20% - Accent6 8 35" xfId="23216"/>
    <cellStyle name="20% - Accent6 8 4" xfId="1753"/>
    <cellStyle name="20% - Accent6 8 4 2" xfId="3393"/>
    <cellStyle name="20% - Accent6 8 4 2 2" xfId="26168"/>
    <cellStyle name="20% - Accent6 8 4 3" xfId="24528"/>
    <cellStyle name="20% - Accent6 8 5" xfId="4049"/>
    <cellStyle name="20% - Accent6 8 5 2" xfId="26824"/>
    <cellStyle name="20% - Accent6 8 6" xfId="4705"/>
    <cellStyle name="20% - Accent6 8 6 2" xfId="27480"/>
    <cellStyle name="20% - Accent6 8 7" xfId="5361"/>
    <cellStyle name="20% - Accent6 8 7 2" xfId="28136"/>
    <cellStyle name="20% - Accent6 8 8" xfId="6017"/>
    <cellStyle name="20% - Accent6 8 8 2" xfId="28792"/>
    <cellStyle name="20% - Accent6 8 9" xfId="2409"/>
    <cellStyle name="20% - Accent6 8 9 2" xfId="25184"/>
    <cellStyle name="20% - Accent6 9" xfId="456"/>
    <cellStyle name="20% - Accent6 9 10" xfId="6687"/>
    <cellStyle name="20% - Accent6 9 10 2" xfId="29462"/>
    <cellStyle name="20% - Accent6 9 11" xfId="7343"/>
    <cellStyle name="20% - Accent6 9 11 2" xfId="30118"/>
    <cellStyle name="20% - Accent6 9 12" xfId="7999"/>
    <cellStyle name="20% - Accent6 9 12 2" xfId="30774"/>
    <cellStyle name="20% - Accent6 9 13" xfId="8655"/>
    <cellStyle name="20% - Accent6 9 13 2" xfId="31430"/>
    <cellStyle name="20% - Accent6 9 14" xfId="9311"/>
    <cellStyle name="20% - Accent6 9 14 2" xfId="32086"/>
    <cellStyle name="20% - Accent6 9 15" xfId="9967"/>
    <cellStyle name="20% - Accent6 9 15 2" xfId="32742"/>
    <cellStyle name="20% - Accent6 9 16" xfId="10623"/>
    <cellStyle name="20% - Accent6 9 16 2" xfId="33398"/>
    <cellStyle name="20% - Accent6 9 17" xfId="11279"/>
    <cellStyle name="20% - Accent6 9 17 2" xfId="34054"/>
    <cellStyle name="20% - Accent6 9 18" xfId="11935"/>
    <cellStyle name="20% - Accent6 9 18 2" xfId="34710"/>
    <cellStyle name="20% - Accent6 9 19" xfId="12591"/>
    <cellStyle name="20% - Accent6 9 19 2" xfId="35366"/>
    <cellStyle name="20% - Accent6 9 2" xfId="783"/>
    <cellStyle name="20% - Accent6 9 2 10" xfId="8327"/>
    <cellStyle name="20% - Accent6 9 2 10 2" xfId="31102"/>
    <cellStyle name="20% - Accent6 9 2 11" xfId="8983"/>
    <cellStyle name="20% - Accent6 9 2 11 2" xfId="31758"/>
    <cellStyle name="20% - Accent6 9 2 12" xfId="9639"/>
    <cellStyle name="20% - Accent6 9 2 12 2" xfId="32414"/>
    <cellStyle name="20% - Accent6 9 2 13" xfId="10295"/>
    <cellStyle name="20% - Accent6 9 2 13 2" xfId="33070"/>
    <cellStyle name="20% - Accent6 9 2 14" xfId="10951"/>
    <cellStyle name="20% - Accent6 9 2 14 2" xfId="33726"/>
    <cellStyle name="20% - Accent6 9 2 15" xfId="11607"/>
    <cellStyle name="20% - Accent6 9 2 15 2" xfId="34382"/>
    <cellStyle name="20% - Accent6 9 2 16" xfId="12263"/>
    <cellStyle name="20% - Accent6 9 2 16 2" xfId="35038"/>
    <cellStyle name="20% - Accent6 9 2 17" xfId="12919"/>
    <cellStyle name="20% - Accent6 9 2 17 2" xfId="35694"/>
    <cellStyle name="20% - Accent6 9 2 18" xfId="13575"/>
    <cellStyle name="20% - Accent6 9 2 18 2" xfId="36350"/>
    <cellStyle name="20% - Accent6 9 2 19" xfId="14231"/>
    <cellStyle name="20% - Accent6 9 2 19 2" xfId="37006"/>
    <cellStyle name="20% - Accent6 9 2 2" xfId="1439"/>
    <cellStyle name="20% - Accent6 9 2 2 2" xfId="3735"/>
    <cellStyle name="20% - Accent6 9 2 2 2 2" xfId="26510"/>
    <cellStyle name="20% - Accent6 9 2 2 3" xfId="24214"/>
    <cellStyle name="20% - Accent6 9 2 20" xfId="14887"/>
    <cellStyle name="20% - Accent6 9 2 20 2" xfId="37662"/>
    <cellStyle name="20% - Accent6 9 2 21" xfId="15543"/>
    <cellStyle name="20% - Accent6 9 2 21 2" xfId="38318"/>
    <cellStyle name="20% - Accent6 9 2 22" xfId="16199"/>
    <cellStyle name="20% - Accent6 9 2 22 2" xfId="38974"/>
    <cellStyle name="20% - Accent6 9 2 23" xfId="16855"/>
    <cellStyle name="20% - Accent6 9 2 23 2" xfId="39630"/>
    <cellStyle name="20% - Accent6 9 2 24" xfId="17511"/>
    <cellStyle name="20% - Accent6 9 2 24 2" xfId="40286"/>
    <cellStyle name="20% - Accent6 9 2 25" xfId="18167"/>
    <cellStyle name="20% - Accent6 9 2 25 2" xfId="40942"/>
    <cellStyle name="20% - Accent6 9 2 26" xfId="18823"/>
    <cellStyle name="20% - Accent6 9 2 26 2" xfId="41598"/>
    <cellStyle name="20% - Accent6 9 2 27" xfId="19479"/>
    <cellStyle name="20% - Accent6 9 2 27 2" xfId="42254"/>
    <cellStyle name="20% - Accent6 9 2 28" xfId="20135"/>
    <cellStyle name="20% - Accent6 9 2 28 2" xfId="42910"/>
    <cellStyle name="20% - Accent6 9 2 29" xfId="20791"/>
    <cellStyle name="20% - Accent6 9 2 29 2" xfId="43566"/>
    <cellStyle name="20% - Accent6 9 2 3" xfId="2095"/>
    <cellStyle name="20% - Accent6 9 2 3 2" xfId="4391"/>
    <cellStyle name="20% - Accent6 9 2 3 2 2" xfId="27166"/>
    <cellStyle name="20% - Accent6 9 2 3 3" xfId="24870"/>
    <cellStyle name="20% - Accent6 9 2 30" xfId="21447"/>
    <cellStyle name="20% - Accent6 9 2 30 2" xfId="44222"/>
    <cellStyle name="20% - Accent6 9 2 31" xfId="22103"/>
    <cellStyle name="20% - Accent6 9 2 31 2" xfId="44878"/>
    <cellStyle name="20% - Accent6 9 2 32" xfId="22759"/>
    <cellStyle name="20% - Accent6 9 2 32 2" xfId="45534"/>
    <cellStyle name="20% - Accent6 9 2 33" xfId="23558"/>
    <cellStyle name="20% - Accent6 9 2 4" xfId="5047"/>
    <cellStyle name="20% - Accent6 9 2 4 2" xfId="27822"/>
    <cellStyle name="20% - Accent6 9 2 5" xfId="5703"/>
    <cellStyle name="20% - Accent6 9 2 5 2" xfId="28478"/>
    <cellStyle name="20% - Accent6 9 2 6" xfId="6359"/>
    <cellStyle name="20% - Accent6 9 2 6 2" xfId="29134"/>
    <cellStyle name="20% - Accent6 9 2 7" xfId="3079"/>
    <cellStyle name="20% - Accent6 9 2 7 2" xfId="25854"/>
    <cellStyle name="20% - Accent6 9 2 8" xfId="7015"/>
    <cellStyle name="20% - Accent6 9 2 8 2" xfId="29790"/>
    <cellStyle name="20% - Accent6 9 2 9" xfId="7671"/>
    <cellStyle name="20% - Accent6 9 2 9 2" xfId="30446"/>
    <cellStyle name="20% - Accent6 9 20" xfId="13247"/>
    <cellStyle name="20% - Accent6 9 20 2" xfId="36022"/>
    <cellStyle name="20% - Accent6 9 21" xfId="13903"/>
    <cellStyle name="20% - Accent6 9 21 2" xfId="36678"/>
    <cellStyle name="20% - Accent6 9 22" xfId="14559"/>
    <cellStyle name="20% - Accent6 9 22 2" xfId="37334"/>
    <cellStyle name="20% - Accent6 9 23" xfId="15215"/>
    <cellStyle name="20% - Accent6 9 23 2" xfId="37990"/>
    <cellStyle name="20% - Accent6 9 24" xfId="15871"/>
    <cellStyle name="20% - Accent6 9 24 2" xfId="38646"/>
    <cellStyle name="20% - Accent6 9 25" xfId="16527"/>
    <cellStyle name="20% - Accent6 9 25 2" xfId="39302"/>
    <cellStyle name="20% - Accent6 9 26" xfId="17183"/>
    <cellStyle name="20% - Accent6 9 26 2" xfId="39958"/>
    <cellStyle name="20% - Accent6 9 27" xfId="17839"/>
    <cellStyle name="20% - Accent6 9 27 2" xfId="40614"/>
    <cellStyle name="20% - Accent6 9 28" xfId="18495"/>
    <cellStyle name="20% - Accent6 9 28 2" xfId="41270"/>
    <cellStyle name="20% - Accent6 9 29" xfId="19151"/>
    <cellStyle name="20% - Accent6 9 29 2" xfId="41926"/>
    <cellStyle name="20% - Accent6 9 3" xfId="1111"/>
    <cellStyle name="20% - Accent6 9 3 2" xfId="2751"/>
    <cellStyle name="20% - Accent6 9 3 2 2" xfId="25526"/>
    <cellStyle name="20% - Accent6 9 3 3" xfId="23886"/>
    <cellStyle name="20% - Accent6 9 30" xfId="19807"/>
    <cellStyle name="20% - Accent6 9 30 2" xfId="42582"/>
    <cellStyle name="20% - Accent6 9 31" xfId="20463"/>
    <cellStyle name="20% - Accent6 9 31 2" xfId="43238"/>
    <cellStyle name="20% - Accent6 9 32" xfId="21119"/>
    <cellStyle name="20% - Accent6 9 32 2" xfId="43894"/>
    <cellStyle name="20% - Accent6 9 33" xfId="21775"/>
    <cellStyle name="20% - Accent6 9 33 2" xfId="44550"/>
    <cellStyle name="20% - Accent6 9 34" xfId="22431"/>
    <cellStyle name="20% - Accent6 9 34 2" xfId="45206"/>
    <cellStyle name="20% - Accent6 9 35" xfId="23230"/>
    <cellStyle name="20% - Accent6 9 4" xfId="1767"/>
    <cellStyle name="20% - Accent6 9 4 2" xfId="3407"/>
    <cellStyle name="20% - Accent6 9 4 2 2" xfId="26182"/>
    <cellStyle name="20% - Accent6 9 4 3" xfId="24542"/>
    <cellStyle name="20% - Accent6 9 5" xfId="4063"/>
    <cellStyle name="20% - Accent6 9 5 2" xfId="26838"/>
    <cellStyle name="20% - Accent6 9 6" xfId="4719"/>
    <cellStyle name="20% - Accent6 9 6 2" xfId="27494"/>
    <cellStyle name="20% - Accent6 9 7" xfId="5375"/>
    <cellStyle name="20% - Accent6 9 7 2" xfId="28150"/>
    <cellStyle name="20% - Accent6 9 8" xfId="6031"/>
    <cellStyle name="20% - Accent6 9 8 2" xfId="28806"/>
    <cellStyle name="20% - Accent6 9 9" xfId="2423"/>
    <cellStyle name="20% - Accent6 9 9 2" xfId="25198"/>
    <cellStyle name="40% - Accent1" xfId="22" builtinId="31" customBuiltin="1"/>
    <cellStyle name="40% - Accent1 10" xfId="459"/>
    <cellStyle name="40% - Accent1 10 10" xfId="6690"/>
    <cellStyle name="40% - Accent1 10 10 2" xfId="29465"/>
    <cellStyle name="40% - Accent1 10 11" xfId="7346"/>
    <cellStyle name="40% - Accent1 10 11 2" xfId="30121"/>
    <cellStyle name="40% - Accent1 10 12" xfId="8002"/>
    <cellStyle name="40% - Accent1 10 12 2" xfId="30777"/>
    <cellStyle name="40% - Accent1 10 13" xfId="8658"/>
    <cellStyle name="40% - Accent1 10 13 2" xfId="31433"/>
    <cellStyle name="40% - Accent1 10 14" xfId="9314"/>
    <cellStyle name="40% - Accent1 10 14 2" xfId="32089"/>
    <cellStyle name="40% - Accent1 10 15" xfId="9970"/>
    <cellStyle name="40% - Accent1 10 15 2" xfId="32745"/>
    <cellStyle name="40% - Accent1 10 16" xfId="10626"/>
    <cellStyle name="40% - Accent1 10 16 2" xfId="33401"/>
    <cellStyle name="40% - Accent1 10 17" xfId="11282"/>
    <cellStyle name="40% - Accent1 10 17 2" xfId="34057"/>
    <cellStyle name="40% - Accent1 10 18" xfId="11938"/>
    <cellStyle name="40% - Accent1 10 18 2" xfId="34713"/>
    <cellStyle name="40% - Accent1 10 19" xfId="12594"/>
    <cellStyle name="40% - Accent1 10 19 2" xfId="35369"/>
    <cellStyle name="40% - Accent1 10 2" xfId="786"/>
    <cellStyle name="40% - Accent1 10 2 10" xfId="8330"/>
    <cellStyle name="40% - Accent1 10 2 10 2" xfId="31105"/>
    <cellStyle name="40% - Accent1 10 2 11" xfId="8986"/>
    <cellStyle name="40% - Accent1 10 2 11 2" xfId="31761"/>
    <cellStyle name="40% - Accent1 10 2 12" xfId="9642"/>
    <cellStyle name="40% - Accent1 10 2 12 2" xfId="32417"/>
    <cellStyle name="40% - Accent1 10 2 13" xfId="10298"/>
    <cellStyle name="40% - Accent1 10 2 13 2" xfId="33073"/>
    <cellStyle name="40% - Accent1 10 2 14" xfId="10954"/>
    <cellStyle name="40% - Accent1 10 2 14 2" xfId="33729"/>
    <cellStyle name="40% - Accent1 10 2 15" xfId="11610"/>
    <cellStyle name="40% - Accent1 10 2 15 2" xfId="34385"/>
    <cellStyle name="40% - Accent1 10 2 16" xfId="12266"/>
    <cellStyle name="40% - Accent1 10 2 16 2" xfId="35041"/>
    <cellStyle name="40% - Accent1 10 2 17" xfId="12922"/>
    <cellStyle name="40% - Accent1 10 2 17 2" xfId="35697"/>
    <cellStyle name="40% - Accent1 10 2 18" xfId="13578"/>
    <cellStyle name="40% - Accent1 10 2 18 2" xfId="36353"/>
    <cellStyle name="40% - Accent1 10 2 19" xfId="14234"/>
    <cellStyle name="40% - Accent1 10 2 19 2" xfId="37009"/>
    <cellStyle name="40% - Accent1 10 2 2" xfId="1442"/>
    <cellStyle name="40% - Accent1 10 2 2 2" xfId="3738"/>
    <cellStyle name="40% - Accent1 10 2 2 2 2" xfId="26513"/>
    <cellStyle name="40% - Accent1 10 2 2 3" xfId="24217"/>
    <cellStyle name="40% - Accent1 10 2 20" xfId="14890"/>
    <cellStyle name="40% - Accent1 10 2 20 2" xfId="37665"/>
    <cellStyle name="40% - Accent1 10 2 21" xfId="15546"/>
    <cellStyle name="40% - Accent1 10 2 21 2" xfId="38321"/>
    <cellStyle name="40% - Accent1 10 2 22" xfId="16202"/>
    <cellStyle name="40% - Accent1 10 2 22 2" xfId="38977"/>
    <cellStyle name="40% - Accent1 10 2 23" xfId="16858"/>
    <cellStyle name="40% - Accent1 10 2 23 2" xfId="39633"/>
    <cellStyle name="40% - Accent1 10 2 24" xfId="17514"/>
    <cellStyle name="40% - Accent1 10 2 24 2" xfId="40289"/>
    <cellStyle name="40% - Accent1 10 2 25" xfId="18170"/>
    <cellStyle name="40% - Accent1 10 2 25 2" xfId="40945"/>
    <cellStyle name="40% - Accent1 10 2 26" xfId="18826"/>
    <cellStyle name="40% - Accent1 10 2 26 2" xfId="41601"/>
    <cellStyle name="40% - Accent1 10 2 27" xfId="19482"/>
    <cellStyle name="40% - Accent1 10 2 27 2" xfId="42257"/>
    <cellStyle name="40% - Accent1 10 2 28" xfId="20138"/>
    <cellStyle name="40% - Accent1 10 2 28 2" xfId="42913"/>
    <cellStyle name="40% - Accent1 10 2 29" xfId="20794"/>
    <cellStyle name="40% - Accent1 10 2 29 2" xfId="43569"/>
    <cellStyle name="40% - Accent1 10 2 3" xfId="2098"/>
    <cellStyle name="40% - Accent1 10 2 3 2" xfId="4394"/>
    <cellStyle name="40% - Accent1 10 2 3 2 2" xfId="27169"/>
    <cellStyle name="40% - Accent1 10 2 3 3" xfId="24873"/>
    <cellStyle name="40% - Accent1 10 2 30" xfId="21450"/>
    <cellStyle name="40% - Accent1 10 2 30 2" xfId="44225"/>
    <cellStyle name="40% - Accent1 10 2 31" xfId="22106"/>
    <cellStyle name="40% - Accent1 10 2 31 2" xfId="44881"/>
    <cellStyle name="40% - Accent1 10 2 32" xfId="22762"/>
    <cellStyle name="40% - Accent1 10 2 32 2" xfId="45537"/>
    <cellStyle name="40% - Accent1 10 2 33" xfId="23561"/>
    <cellStyle name="40% - Accent1 10 2 4" xfId="5050"/>
    <cellStyle name="40% - Accent1 10 2 4 2" xfId="27825"/>
    <cellStyle name="40% - Accent1 10 2 5" xfId="5706"/>
    <cellStyle name="40% - Accent1 10 2 5 2" xfId="28481"/>
    <cellStyle name="40% - Accent1 10 2 6" xfId="6362"/>
    <cellStyle name="40% - Accent1 10 2 6 2" xfId="29137"/>
    <cellStyle name="40% - Accent1 10 2 7" xfId="3082"/>
    <cellStyle name="40% - Accent1 10 2 7 2" xfId="25857"/>
    <cellStyle name="40% - Accent1 10 2 8" xfId="7018"/>
    <cellStyle name="40% - Accent1 10 2 8 2" xfId="29793"/>
    <cellStyle name="40% - Accent1 10 2 9" xfId="7674"/>
    <cellStyle name="40% - Accent1 10 2 9 2" xfId="30449"/>
    <cellStyle name="40% - Accent1 10 20" xfId="13250"/>
    <cellStyle name="40% - Accent1 10 20 2" xfId="36025"/>
    <cellStyle name="40% - Accent1 10 21" xfId="13906"/>
    <cellStyle name="40% - Accent1 10 21 2" xfId="36681"/>
    <cellStyle name="40% - Accent1 10 22" xfId="14562"/>
    <cellStyle name="40% - Accent1 10 22 2" xfId="37337"/>
    <cellStyle name="40% - Accent1 10 23" xfId="15218"/>
    <cellStyle name="40% - Accent1 10 23 2" xfId="37993"/>
    <cellStyle name="40% - Accent1 10 24" xfId="15874"/>
    <cellStyle name="40% - Accent1 10 24 2" xfId="38649"/>
    <cellStyle name="40% - Accent1 10 25" xfId="16530"/>
    <cellStyle name="40% - Accent1 10 25 2" xfId="39305"/>
    <cellStyle name="40% - Accent1 10 26" xfId="17186"/>
    <cellStyle name="40% - Accent1 10 26 2" xfId="39961"/>
    <cellStyle name="40% - Accent1 10 27" xfId="17842"/>
    <cellStyle name="40% - Accent1 10 27 2" xfId="40617"/>
    <cellStyle name="40% - Accent1 10 28" xfId="18498"/>
    <cellStyle name="40% - Accent1 10 28 2" xfId="41273"/>
    <cellStyle name="40% - Accent1 10 29" xfId="19154"/>
    <cellStyle name="40% - Accent1 10 29 2" xfId="41929"/>
    <cellStyle name="40% - Accent1 10 3" xfId="1114"/>
    <cellStyle name="40% - Accent1 10 3 2" xfId="2754"/>
    <cellStyle name="40% - Accent1 10 3 2 2" xfId="25529"/>
    <cellStyle name="40% - Accent1 10 3 3" xfId="23889"/>
    <cellStyle name="40% - Accent1 10 30" xfId="19810"/>
    <cellStyle name="40% - Accent1 10 30 2" xfId="42585"/>
    <cellStyle name="40% - Accent1 10 31" xfId="20466"/>
    <cellStyle name="40% - Accent1 10 31 2" xfId="43241"/>
    <cellStyle name="40% - Accent1 10 32" xfId="21122"/>
    <cellStyle name="40% - Accent1 10 32 2" xfId="43897"/>
    <cellStyle name="40% - Accent1 10 33" xfId="21778"/>
    <cellStyle name="40% - Accent1 10 33 2" xfId="44553"/>
    <cellStyle name="40% - Accent1 10 34" xfId="22434"/>
    <cellStyle name="40% - Accent1 10 34 2" xfId="45209"/>
    <cellStyle name="40% - Accent1 10 35" xfId="23233"/>
    <cellStyle name="40% - Accent1 10 4" xfId="1770"/>
    <cellStyle name="40% - Accent1 10 4 2" xfId="3410"/>
    <cellStyle name="40% - Accent1 10 4 2 2" xfId="26185"/>
    <cellStyle name="40% - Accent1 10 4 3" xfId="24545"/>
    <cellStyle name="40% - Accent1 10 5" xfId="4066"/>
    <cellStyle name="40% - Accent1 10 5 2" xfId="26841"/>
    <cellStyle name="40% - Accent1 10 6" xfId="4722"/>
    <cellStyle name="40% - Accent1 10 6 2" xfId="27497"/>
    <cellStyle name="40% - Accent1 10 7" xfId="5378"/>
    <cellStyle name="40% - Accent1 10 7 2" xfId="28153"/>
    <cellStyle name="40% - Accent1 10 8" xfId="6034"/>
    <cellStyle name="40% - Accent1 10 8 2" xfId="28809"/>
    <cellStyle name="40% - Accent1 10 9" xfId="2426"/>
    <cellStyle name="40% - Accent1 10 9 2" xfId="25201"/>
    <cellStyle name="40% - Accent1 11" xfId="601"/>
    <cellStyle name="40% - Accent1 11 10" xfId="8145"/>
    <cellStyle name="40% - Accent1 11 10 2" xfId="30920"/>
    <cellStyle name="40% - Accent1 11 11" xfId="8801"/>
    <cellStyle name="40% - Accent1 11 11 2" xfId="31576"/>
    <cellStyle name="40% - Accent1 11 12" xfId="9457"/>
    <cellStyle name="40% - Accent1 11 12 2" xfId="32232"/>
    <cellStyle name="40% - Accent1 11 13" xfId="10113"/>
    <cellStyle name="40% - Accent1 11 13 2" xfId="32888"/>
    <cellStyle name="40% - Accent1 11 14" xfId="10769"/>
    <cellStyle name="40% - Accent1 11 14 2" xfId="33544"/>
    <cellStyle name="40% - Accent1 11 15" xfId="11425"/>
    <cellStyle name="40% - Accent1 11 15 2" xfId="34200"/>
    <cellStyle name="40% - Accent1 11 16" xfId="12081"/>
    <cellStyle name="40% - Accent1 11 16 2" xfId="34856"/>
    <cellStyle name="40% - Accent1 11 17" xfId="12737"/>
    <cellStyle name="40% - Accent1 11 17 2" xfId="35512"/>
    <cellStyle name="40% - Accent1 11 18" xfId="13393"/>
    <cellStyle name="40% - Accent1 11 18 2" xfId="36168"/>
    <cellStyle name="40% - Accent1 11 19" xfId="14049"/>
    <cellStyle name="40% - Accent1 11 19 2" xfId="36824"/>
    <cellStyle name="40% - Accent1 11 2" xfId="1257"/>
    <cellStyle name="40% - Accent1 11 2 2" xfId="3553"/>
    <cellStyle name="40% - Accent1 11 2 2 2" xfId="26328"/>
    <cellStyle name="40% - Accent1 11 2 3" xfId="24032"/>
    <cellStyle name="40% - Accent1 11 20" xfId="14705"/>
    <cellStyle name="40% - Accent1 11 20 2" xfId="37480"/>
    <cellStyle name="40% - Accent1 11 21" xfId="15361"/>
    <cellStyle name="40% - Accent1 11 21 2" xfId="38136"/>
    <cellStyle name="40% - Accent1 11 22" xfId="16017"/>
    <cellStyle name="40% - Accent1 11 22 2" xfId="38792"/>
    <cellStyle name="40% - Accent1 11 23" xfId="16673"/>
    <cellStyle name="40% - Accent1 11 23 2" xfId="39448"/>
    <cellStyle name="40% - Accent1 11 24" xfId="17329"/>
    <cellStyle name="40% - Accent1 11 24 2" xfId="40104"/>
    <cellStyle name="40% - Accent1 11 25" xfId="17985"/>
    <cellStyle name="40% - Accent1 11 25 2" xfId="40760"/>
    <cellStyle name="40% - Accent1 11 26" xfId="18641"/>
    <cellStyle name="40% - Accent1 11 26 2" xfId="41416"/>
    <cellStyle name="40% - Accent1 11 27" xfId="19297"/>
    <cellStyle name="40% - Accent1 11 27 2" xfId="42072"/>
    <cellStyle name="40% - Accent1 11 28" xfId="19953"/>
    <cellStyle name="40% - Accent1 11 28 2" xfId="42728"/>
    <cellStyle name="40% - Accent1 11 29" xfId="20609"/>
    <cellStyle name="40% - Accent1 11 29 2" xfId="43384"/>
    <cellStyle name="40% - Accent1 11 3" xfId="1913"/>
    <cellStyle name="40% - Accent1 11 3 2" xfId="4209"/>
    <cellStyle name="40% - Accent1 11 3 2 2" xfId="26984"/>
    <cellStyle name="40% - Accent1 11 3 3" xfId="24688"/>
    <cellStyle name="40% - Accent1 11 30" xfId="21265"/>
    <cellStyle name="40% - Accent1 11 30 2" xfId="44040"/>
    <cellStyle name="40% - Accent1 11 31" xfId="21921"/>
    <cellStyle name="40% - Accent1 11 31 2" xfId="44696"/>
    <cellStyle name="40% - Accent1 11 32" xfId="22577"/>
    <cellStyle name="40% - Accent1 11 32 2" xfId="45352"/>
    <cellStyle name="40% - Accent1 11 33" xfId="23376"/>
    <cellStyle name="40% - Accent1 11 4" xfId="4865"/>
    <cellStyle name="40% - Accent1 11 4 2" xfId="27640"/>
    <cellStyle name="40% - Accent1 11 5" xfId="5521"/>
    <cellStyle name="40% - Accent1 11 5 2" xfId="28296"/>
    <cellStyle name="40% - Accent1 11 6" xfId="6177"/>
    <cellStyle name="40% - Accent1 11 6 2" xfId="28952"/>
    <cellStyle name="40% - Accent1 11 7" xfId="2897"/>
    <cellStyle name="40% - Accent1 11 7 2" xfId="25672"/>
    <cellStyle name="40% - Accent1 11 8" xfId="6833"/>
    <cellStyle name="40% - Accent1 11 8 2" xfId="29608"/>
    <cellStyle name="40% - Accent1 11 9" xfId="7489"/>
    <cellStyle name="40% - Accent1 11 9 2" xfId="30264"/>
    <cellStyle name="40% - Accent1 12" xfId="274"/>
    <cellStyle name="40% - Accent1 12 2" xfId="2569"/>
    <cellStyle name="40% - Accent1 12 2 2" xfId="25344"/>
    <cellStyle name="40% - Accent1 12 3" xfId="23048"/>
    <cellStyle name="40% - Accent1 13" xfId="929"/>
    <cellStyle name="40% - Accent1 13 2" xfId="3225"/>
    <cellStyle name="40% - Accent1 13 2 2" xfId="26000"/>
    <cellStyle name="40% - Accent1 13 3" xfId="23704"/>
    <cellStyle name="40% - Accent1 14" xfId="1585"/>
    <cellStyle name="40% - Accent1 14 2" xfId="3881"/>
    <cellStyle name="40% - Accent1 14 2 2" xfId="26656"/>
    <cellStyle name="40% - Accent1 14 3" xfId="24360"/>
    <cellStyle name="40% - Accent1 15" xfId="4537"/>
    <cellStyle name="40% - Accent1 15 2" xfId="27312"/>
    <cellStyle name="40% - Accent1 16" xfId="5193"/>
    <cellStyle name="40% - Accent1 16 2" xfId="27968"/>
    <cellStyle name="40% - Accent1 17" xfId="5849"/>
    <cellStyle name="40% - Accent1 17 2" xfId="28624"/>
    <cellStyle name="40% - Accent1 18" xfId="2241"/>
    <cellStyle name="40% - Accent1 18 2" xfId="25016"/>
    <cellStyle name="40% - Accent1 19" xfId="6505"/>
    <cellStyle name="40% - Accent1 19 2" xfId="29280"/>
    <cellStyle name="40% - Accent1 2" xfId="69"/>
    <cellStyle name="40% - Accent1 2 10" xfId="5865"/>
    <cellStyle name="40% - Accent1 2 10 2" xfId="28640"/>
    <cellStyle name="40% - Accent1 2 11" xfId="2257"/>
    <cellStyle name="40% - Accent1 2 11 2" xfId="25032"/>
    <cellStyle name="40% - Accent1 2 12" xfId="6521"/>
    <cellStyle name="40% - Accent1 2 12 2" xfId="29296"/>
    <cellStyle name="40% - Accent1 2 13" xfId="7177"/>
    <cellStyle name="40% - Accent1 2 13 2" xfId="29952"/>
    <cellStyle name="40% - Accent1 2 14" xfId="7833"/>
    <cellStyle name="40% - Accent1 2 14 2" xfId="30608"/>
    <cellStyle name="40% - Accent1 2 15" xfId="8489"/>
    <cellStyle name="40% - Accent1 2 15 2" xfId="31264"/>
    <cellStyle name="40% - Accent1 2 16" xfId="9145"/>
    <cellStyle name="40% - Accent1 2 16 2" xfId="31920"/>
    <cellStyle name="40% - Accent1 2 17" xfId="9801"/>
    <cellStyle name="40% - Accent1 2 17 2" xfId="32576"/>
    <cellStyle name="40% - Accent1 2 18" xfId="10457"/>
    <cellStyle name="40% - Accent1 2 18 2" xfId="33232"/>
    <cellStyle name="40% - Accent1 2 19" xfId="11113"/>
    <cellStyle name="40% - Accent1 2 19 2" xfId="33888"/>
    <cellStyle name="40% - Accent1 2 2" xfId="145"/>
    <cellStyle name="40% - Accent1 2 2 10" xfId="2343"/>
    <cellStyle name="40% - Accent1 2 2 10 2" xfId="25118"/>
    <cellStyle name="40% - Accent1 2 2 11" xfId="6607"/>
    <cellStyle name="40% - Accent1 2 2 11 2" xfId="29382"/>
    <cellStyle name="40% - Accent1 2 2 12" xfId="7263"/>
    <cellStyle name="40% - Accent1 2 2 12 2" xfId="30038"/>
    <cellStyle name="40% - Accent1 2 2 13" xfId="7919"/>
    <cellStyle name="40% - Accent1 2 2 13 2" xfId="30694"/>
    <cellStyle name="40% - Accent1 2 2 14" xfId="8575"/>
    <cellStyle name="40% - Accent1 2 2 14 2" xfId="31350"/>
    <cellStyle name="40% - Accent1 2 2 15" xfId="9231"/>
    <cellStyle name="40% - Accent1 2 2 15 2" xfId="32006"/>
    <cellStyle name="40% - Accent1 2 2 16" xfId="9887"/>
    <cellStyle name="40% - Accent1 2 2 16 2" xfId="32662"/>
    <cellStyle name="40% - Accent1 2 2 17" xfId="10543"/>
    <cellStyle name="40% - Accent1 2 2 17 2" xfId="33318"/>
    <cellStyle name="40% - Accent1 2 2 18" xfId="11199"/>
    <cellStyle name="40% - Accent1 2 2 18 2" xfId="33974"/>
    <cellStyle name="40% - Accent1 2 2 19" xfId="11855"/>
    <cellStyle name="40% - Accent1 2 2 19 2" xfId="34630"/>
    <cellStyle name="40% - Accent1 2 2 2" xfId="559"/>
    <cellStyle name="40% - Accent1 2 2 2 10" xfId="6792"/>
    <cellStyle name="40% - Accent1 2 2 2 10 2" xfId="29567"/>
    <cellStyle name="40% - Accent1 2 2 2 11" xfId="7448"/>
    <cellStyle name="40% - Accent1 2 2 2 11 2" xfId="30223"/>
    <cellStyle name="40% - Accent1 2 2 2 12" xfId="8104"/>
    <cellStyle name="40% - Accent1 2 2 2 12 2" xfId="30879"/>
    <cellStyle name="40% - Accent1 2 2 2 13" xfId="8760"/>
    <cellStyle name="40% - Accent1 2 2 2 13 2" xfId="31535"/>
    <cellStyle name="40% - Accent1 2 2 2 14" xfId="9416"/>
    <cellStyle name="40% - Accent1 2 2 2 14 2" xfId="32191"/>
    <cellStyle name="40% - Accent1 2 2 2 15" xfId="10072"/>
    <cellStyle name="40% - Accent1 2 2 2 15 2" xfId="32847"/>
    <cellStyle name="40% - Accent1 2 2 2 16" xfId="10728"/>
    <cellStyle name="40% - Accent1 2 2 2 16 2" xfId="33503"/>
    <cellStyle name="40% - Accent1 2 2 2 17" xfId="11384"/>
    <cellStyle name="40% - Accent1 2 2 2 17 2" xfId="34159"/>
    <cellStyle name="40% - Accent1 2 2 2 18" xfId="12040"/>
    <cellStyle name="40% - Accent1 2 2 2 18 2" xfId="34815"/>
    <cellStyle name="40% - Accent1 2 2 2 19" xfId="12696"/>
    <cellStyle name="40% - Accent1 2 2 2 19 2" xfId="35471"/>
    <cellStyle name="40% - Accent1 2 2 2 2" xfId="888"/>
    <cellStyle name="40% - Accent1 2 2 2 2 10" xfId="8432"/>
    <cellStyle name="40% - Accent1 2 2 2 2 10 2" xfId="31207"/>
    <cellStyle name="40% - Accent1 2 2 2 2 11" xfId="9088"/>
    <cellStyle name="40% - Accent1 2 2 2 2 11 2" xfId="31863"/>
    <cellStyle name="40% - Accent1 2 2 2 2 12" xfId="9744"/>
    <cellStyle name="40% - Accent1 2 2 2 2 12 2" xfId="32519"/>
    <cellStyle name="40% - Accent1 2 2 2 2 13" xfId="10400"/>
    <cellStyle name="40% - Accent1 2 2 2 2 13 2" xfId="33175"/>
    <cellStyle name="40% - Accent1 2 2 2 2 14" xfId="11056"/>
    <cellStyle name="40% - Accent1 2 2 2 2 14 2" xfId="33831"/>
    <cellStyle name="40% - Accent1 2 2 2 2 15" xfId="11712"/>
    <cellStyle name="40% - Accent1 2 2 2 2 15 2" xfId="34487"/>
    <cellStyle name="40% - Accent1 2 2 2 2 16" xfId="12368"/>
    <cellStyle name="40% - Accent1 2 2 2 2 16 2" xfId="35143"/>
    <cellStyle name="40% - Accent1 2 2 2 2 17" xfId="13024"/>
    <cellStyle name="40% - Accent1 2 2 2 2 17 2" xfId="35799"/>
    <cellStyle name="40% - Accent1 2 2 2 2 18" xfId="13680"/>
    <cellStyle name="40% - Accent1 2 2 2 2 18 2" xfId="36455"/>
    <cellStyle name="40% - Accent1 2 2 2 2 19" xfId="14336"/>
    <cellStyle name="40% - Accent1 2 2 2 2 19 2" xfId="37111"/>
    <cellStyle name="40% - Accent1 2 2 2 2 2" xfId="1544"/>
    <cellStyle name="40% - Accent1 2 2 2 2 2 2" xfId="3840"/>
    <cellStyle name="40% - Accent1 2 2 2 2 2 2 2" xfId="26615"/>
    <cellStyle name="40% - Accent1 2 2 2 2 2 3" xfId="24319"/>
    <cellStyle name="40% - Accent1 2 2 2 2 20" xfId="14992"/>
    <cellStyle name="40% - Accent1 2 2 2 2 20 2" xfId="37767"/>
    <cellStyle name="40% - Accent1 2 2 2 2 21" xfId="15648"/>
    <cellStyle name="40% - Accent1 2 2 2 2 21 2" xfId="38423"/>
    <cellStyle name="40% - Accent1 2 2 2 2 22" xfId="16304"/>
    <cellStyle name="40% - Accent1 2 2 2 2 22 2" xfId="39079"/>
    <cellStyle name="40% - Accent1 2 2 2 2 23" xfId="16960"/>
    <cellStyle name="40% - Accent1 2 2 2 2 23 2" xfId="39735"/>
    <cellStyle name="40% - Accent1 2 2 2 2 24" xfId="17616"/>
    <cellStyle name="40% - Accent1 2 2 2 2 24 2" xfId="40391"/>
    <cellStyle name="40% - Accent1 2 2 2 2 25" xfId="18272"/>
    <cellStyle name="40% - Accent1 2 2 2 2 25 2" xfId="41047"/>
    <cellStyle name="40% - Accent1 2 2 2 2 26" xfId="18928"/>
    <cellStyle name="40% - Accent1 2 2 2 2 26 2" xfId="41703"/>
    <cellStyle name="40% - Accent1 2 2 2 2 27" xfId="19584"/>
    <cellStyle name="40% - Accent1 2 2 2 2 27 2" xfId="42359"/>
    <cellStyle name="40% - Accent1 2 2 2 2 28" xfId="20240"/>
    <cellStyle name="40% - Accent1 2 2 2 2 28 2" xfId="43015"/>
    <cellStyle name="40% - Accent1 2 2 2 2 29" xfId="20896"/>
    <cellStyle name="40% - Accent1 2 2 2 2 29 2" xfId="43671"/>
    <cellStyle name="40% - Accent1 2 2 2 2 3" xfId="2200"/>
    <cellStyle name="40% - Accent1 2 2 2 2 3 2" xfId="4496"/>
    <cellStyle name="40% - Accent1 2 2 2 2 3 2 2" xfId="27271"/>
    <cellStyle name="40% - Accent1 2 2 2 2 3 3" xfId="24975"/>
    <cellStyle name="40% - Accent1 2 2 2 2 30" xfId="21552"/>
    <cellStyle name="40% - Accent1 2 2 2 2 30 2" xfId="44327"/>
    <cellStyle name="40% - Accent1 2 2 2 2 31" xfId="22208"/>
    <cellStyle name="40% - Accent1 2 2 2 2 31 2" xfId="44983"/>
    <cellStyle name="40% - Accent1 2 2 2 2 32" xfId="22864"/>
    <cellStyle name="40% - Accent1 2 2 2 2 32 2" xfId="45639"/>
    <cellStyle name="40% - Accent1 2 2 2 2 33" xfId="23663"/>
    <cellStyle name="40% - Accent1 2 2 2 2 4" xfId="5152"/>
    <cellStyle name="40% - Accent1 2 2 2 2 4 2" xfId="27927"/>
    <cellStyle name="40% - Accent1 2 2 2 2 5" xfId="5808"/>
    <cellStyle name="40% - Accent1 2 2 2 2 5 2" xfId="28583"/>
    <cellStyle name="40% - Accent1 2 2 2 2 6" xfId="6464"/>
    <cellStyle name="40% - Accent1 2 2 2 2 6 2" xfId="29239"/>
    <cellStyle name="40% - Accent1 2 2 2 2 7" xfId="3184"/>
    <cellStyle name="40% - Accent1 2 2 2 2 7 2" xfId="25959"/>
    <cellStyle name="40% - Accent1 2 2 2 2 8" xfId="7120"/>
    <cellStyle name="40% - Accent1 2 2 2 2 8 2" xfId="29895"/>
    <cellStyle name="40% - Accent1 2 2 2 2 9" xfId="7776"/>
    <cellStyle name="40% - Accent1 2 2 2 2 9 2" xfId="30551"/>
    <cellStyle name="40% - Accent1 2 2 2 20" xfId="13352"/>
    <cellStyle name="40% - Accent1 2 2 2 20 2" xfId="36127"/>
    <cellStyle name="40% - Accent1 2 2 2 21" xfId="14008"/>
    <cellStyle name="40% - Accent1 2 2 2 21 2" xfId="36783"/>
    <cellStyle name="40% - Accent1 2 2 2 22" xfId="14664"/>
    <cellStyle name="40% - Accent1 2 2 2 22 2" xfId="37439"/>
    <cellStyle name="40% - Accent1 2 2 2 23" xfId="15320"/>
    <cellStyle name="40% - Accent1 2 2 2 23 2" xfId="38095"/>
    <cellStyle name="40% - Accent1 2 2 2 24" xfId="15976"/>
    <cellStyle name="40% - Accent1 2 2 2 24 2" xfId="38751"/>
    <cellStyle name="40% - Accent1 2 2 2 25" xfId="16632"/>
    <cellStyle name="40% - Accent1 2 2 2 25 2" xfId="39407"/>
    <cellStyle name="40% - Accent1 2 2 2 26" xfId="17288"/>
    <cellStyle name="40% - Accent1 2 2 2 26 2" xfId="40063"/>
    <cellStyle name="40% - Accent1 2 2 2 27" xfId="17944"/>
    <cellStyle name="40% - Accent1 2 2 2 27 2" xfId="40719"/>
    <cellStyle name="40% - Accent1 2 2 2 28" xfId="18600"/>
    <cellStyle name="40% - Accent1 2 2 2 28 2" xfId="41375"/>
    <cellStyle name="40% - Accent1 2 2 2 29" xfId="19256"/>
    <cellStyle name="40% - Accent1 2 2 2 29 2" xfId="42031"/>
    <cellStyle name="40% - Accent1 2 2 2 3" xfId="1216"/>
    <cellStyle name="40% - Accent1 2 2 2 3 2" xfId="2856"/>
    <cellStyle name="40% - Accent1 2 2 2 3 2 2" xfId="25631"/>
    <cellStyle name="40% - Accent1 2 2 2 3 3" xfId="23991"/>
    <cellStyle name="40% - Accent1 2 2 2 30" xfId="19912"/>
    <cellStyle name="40% - Accent1 2 2 2 30 2" xfId="42687"/>
    <cellStyle name="40% - Accent1 2 2 2 31" xfId="20568"/>
    <cellStyle name="40% - Accent1 2 2 2 31 2" xfId="43343"/>
    <cellStyle name="40% - Accent1 2 2 2 32" xfId="21224"/>
    <cellStyle name="40% - Accent1 2 2 2 32 2" xfId="43999"/>
    <cellStyle name="40% - Accent1 2 2 2 33" xfId="21880"/>
    <cellStyle name="40% - Accent1 2 2 2 33 2" xfId="44655"/>
    <cellStyle name="40% - Accent1 2 2 2 34" xfId="22536"/>
    <cellStyle name="40% - Accent1 2 2 2 34 2" xfId="45311"/>
    <cellStyle name="40% - Accent1 2 2 2 35" xfId="23335"/>
    <cellStyle name="40% - Accent1 2 2 2 4" xfId="1872"/>
    <cellStyle name="40% - Accent1 2 2 2 4 2" xfId="3512"/>
    <cellStyle name="40% - Accent1 2 2 2 4 2 2" xfId="26287"/>
    <cellStyle name="40% - Accent1 2 2 2 4 3" xfId="24647"/>
    <cellStyle name="40% - Accent1 2 2 2 5" xfId="4168"/>
    <cellStyle name="40% - Accent1 2 2 2 5 2" xfId="26943"/>
    <cellStyle name="40% - Accent1 2 2 2 6" xfId="4824"/>
    <cellStyle name="40% - Accent1 2 2 2 6 2" xfId="27599"/>
    <cellStyle name="40% - Accent1 2 2 2 7" xfId="5480"/>
    <cellStyle name="40% - Accent1 2 2 2 7 2" xfId="28255"/>
    <cellStyle name="40% - Accent1 2 2 2 8" xfId="6136"/>
    <cellStyle name="40% - Accent1 2 2 2 8 2" xfId="28911"/>
    <cellStyle name="40% - Accent1 2 2 2 9" xfId="2528"/>
    <cellStyle name="40% - Accent1 2 2 2 9 2" xfId="25303"/>
    <cellStyle name="40% - Accent1 2 2 20" xfId="12511"/>
    <cellStyle name="40% - Accent1 2 2 20 2" xfId="35286"/>
    <cellStyle name="40% - Accent1 2 2 21" xfId="13167"/>
    <cellStyle name="40% - Accent1 2 2 21 2" xfId="35942"/>
    <cellStyle name="40% - Accent1 2 2 22" xfId="13823"/>
    <cellStyle name="40% - Accent1 2 2 22 2" xfId="36598"/>
    <cellStyle name="40% - Accent1 2 2 23" xfId="14479"/>
    <cellStyle name="40% - Accent1 2 2 23 2" xfId="37254"/>
    <cellStyle name="40% - Accent1 2 2 24" xfId="15135"/>
    <cellStyle name="40% - Accent1 2 2 24 2" xfId="37910"/>
    <cellStyle name="40% - Accent1 2 2 25" xfId="15791"/>
    <cellStyle name="40% - Accent1 2 2 25 2" xfId="38566"/>
    <cellStyle name="40% - Accent1 2 2 26" xfId="16447"/>
    <cellStyle name="40% - Accent1 2 2 26 2" xfId="39222"/>
    <cellStyle name="40% - Accent1 2 2 27" xfId="17103"/>
    <cellStyle name="40% - Accent1 2 2 27 2" xfId="39878"/>
    <cellStyle name="40% - Accent1 2 2 28" xfId="17759"/>
    <cellStyle name="40% - Accent1 2 2 28 2" xfId="40534"/>
    <cellStyle name="40% - Accent1 2 2 29" xfId="18415"/>
    <cellStyle name="40% - Accent1 2 2 29 2" xfId="41190"/>
    <cellStyle name="40% - Accent1 2 2 3" xfId="703"/>
    <cellStyle name="40% - Accent1 2 2 3 10" xfId="8247"/>
    <cellStyle name="40% - Accent1 2 2 3 10 2" xfId="31022"/>
    <cellStyle name="40% - Accent1 2 2 3 11" xfId="8903"/>
    <cellStyle name="40% - Accent1 2 2 3 11 2" xfId="31678"/>
    <cellStyle name="40% - Accent1 2 2 3 12" xfId="9559"/>
    <cellStyle name="40% - Accent1 2 2 3 12 2" xfId="32334"/>
    <cellStyle name="40% - Accent1 2 2 3 13" xfId="10215"/>
    <cellStyle name="40% - Accent1 2 2 3 13 2" xfId="32990"/>
    <cellStyle name="40% - Accent1 2 2 3 14" xfId="10871"/>
    <cellStyle name="40% - Accent1 2 2 3 14 2" xfId="33646"/>
    <cellStyle name="40% - Accent1 2 2 3 15" xfId="11527"/>
    <cellStyle name="40% - Accent1 2 2 3 15 2" xfId="34302"/>
    <cellStyle name="40% - Accent1 2 2 3 16" xfId="12183"/>
    <cellStyle name="40% - Accent1 2 2 3 16 2" xfId="34958"/>
    <cellStyle name="40% - Accent1 2 2 3 17" xfId="12839"/>
    <cellStyle name="40% - Accent1 2 2 3 17 2" xfId="35614"/>
    <cellStyle name="40% - Accent1 2 2 3 18" xfId="13495"/>
    <cellStyle name="40% - Accent1 2 2 3 18 2" xfId="36270"/>
    <cellStyle name="40% - Accent1 2 2 3 19" xfId="14151"/>
    <cellStyle name="40% - Accent1 2 2 3 19 2" xfId="36926"/>
    <cellStyle name="40% - Accent1 2 2 3 2" xfId="1359"/>
    <cellStyle name="40% - Accent1 2 2 3 2 2" xfId="3655"/>
    <cellStyle name="40% - Accent1 2 2 3 2 2 2" xfId="26430"/>
    <cellStyle name="40% - Accent1 2 2 3 2 3" xfId="24134"/>
    <cellStyle name="40% - Accent1 2 2 3 20" xfId="14807"/>
    <cellStyle name="40% - Accent1 2 2 3 20 2" xfId="37582"/>
    <cellStyle name="40% - Accent1 2 2 3 21" xfId="15463"/>
    <cellStyle name="40% - Accent1 2 2 3 21 2" xfId="38238"/>
    <cellStyle name="40% - Accent1 2 2 3 22" xfId="16119"/>
    <cellStyle name="40% - Accent1 2 2 3 22 2" xfId="38894"/>
    <cellStyle name="40% - Accent1 2 2 3 23" xfId="16775"/>
    <cellStyle name="40% - Accent1 2 2 3 23 2" xfId="39550"/>
    <cellStyle name="40% - Accent1 2 2 3 24" xfId="17431"/>
    <cellStyle name="40% - Accent1 2 2 3 24 2" xfId="40206"/>
    <cellStyle name="40% - Accent1 2 2 3 25" xfId="18087"/>
    <cellStyle name="40% - Accent1 2 2 3 25 2" xfId="40862"/>
    <cellStyle name="40% - Accent1 2 2 3 26" xfId="18743"/>
    <cellStyle name="40% - Accent1 2 2 3 26 2" xfId="41518"/>
    <cellStyle name="40% - Accent1 2 2 3 27" xfId="19399"/>
    <cellStyle name="40% - Accent1 2 2 3 27 2" xfId="42174"/>
    <cellStyle name="40% - Accent1 2 2 3 28" xfId="20055"/>
    <cellStyle name="40% - Accent1 2 2 3 28 2" xfId="42830"/>
    <cellStyle name="40% - Accent1 2 2 3 29" xfId="20711"/>
    <cellStyle name="40% - Accent1 2 2 3 29 2" xfId="43486"/>
    <cellStyle name="40% - Accent1 2 2 3 3" xfId="2015"/>
    <cellStyle name="40% - Accent1 2 2 3 3 2" xfId="4311"/>
    <cellStyle name="40% - Accent1 2 2 3 3 2 2" xfId="27086"/>
    <cellStyle name="40% - Accent1 2 2 3 3 3" xfId="24790"/>
    <cellStyle name="40% - Accent1 2 2 3 30" xfId="21367"/>
    <cellStyle name="40% - Accent1 2 2 3 30 2" xfId="44142"/>
    <cellStyle name="40% - Accent1 2 2 3 31" xfId="22023"/>
    <cellStyle name="40% - Accent1 2 2 3 31 2" xfId="44798"/>
    <cellStyle name="40% - Accent1 2 2 3 32" xfId="22679"/>
    <cellStyle name="40% - Accent1 2 2 3 32 2" xfId="45454"/>
    <cellStyle name="40% - Accent1 2 2 3 33" xfId="23478"/>
    <cellStyle name="40% - Accent1 2 2 3 4" xfId="4967"/>
    <cellStyle name="40% - Accent1 2 2 3 4 2" xfId="27742"/>
    <cellStyle name="40% - Accent1 2 2 3 5" xfId="5623"/>
    <cellStyle name="40% - Accent1 2 2 3 5 2" xfId="28398"/>
    <cellStyle name="40% - Accent1 2 2 3 6" xfId="6279"/>
    <cellStyle name="40% - Accent1 2 2 3 6 2" xfId="29054"/>
    <cellStyle name="40% - Accent1 2 2 3 7" xfId="2999"/>
    <cellStyle name="40% - Accent1 2 2 3 7 2" xfId="25774"/>
    <cellStyle name="40% - Accent1 2 2 3 8" xfId="6935"/>
    <cellStyle name="40% - Accent1 2 2 3 8 2" xfId="29710"/>
    <cellStyle name="40% - Accent1 2 2 3 9" xfId="7591"/>
    <cellStyle name="40% - Accent1 2 2 3 9 2" xfId="30366"/>
    <cellStyle name="40% - Accent1 2 2 30" xfId="19071"/>
    <cellStyle name="40% - Accent1 2 2 30 2" xfId="41846"/>
    <cellStyle name="40% - Accent1 2 2 31" xfId="19727"/>
    <cellStyle name="40% - Accent1 2 2 31 2" xfId="42502"/>
    <cellStyle name="40% - Accent1 2 2 32" xfId="20383"/>
    <cellStyle name="40% - Accent1 2 2 32 2" xfId="43158"/>
    <cellStyle name="40% - Accent1 2 2 33" xfId="21039"/>
    <cellStyle name="40% - Accent1 2 2 33 2" xfId="43814"/>
    <cellStyle name="40% - Accent1 2 2 34" xfId="21695"/>
    <cellStyle name="40% - Accent1 2 2 34 2" xfId="44470"/>
    <cellStyle name="40% - Accent1 2 2 35" xfId="22351"/>
    <cellStyle name="40% - Accent1 2 2 35 2" xfId="45126"/>
    <cellStyle name="40% - Accent1 2 2 36" xfId="23007"/>
    <cellStyle name="40% - Accent1 2 2 4" xfId="376"/>
    <cellStyle name="40% - Accent1 2 2 4 2" xfId="2671"/>
    <cellStyle name="40% - Accent1 2 2 4 2 2" xfId="25446"/>
    <cellStyle name="40% - Accent1 2 2 4 3" xfId="23150"/>
    <cellStyle name="40% - Accent1 2 2 5" xfId="1031"/>
    <cellStyle name="40% - Accent1 2 2 5 2" xfId="3327"/>
    <cellStyle name="40% - Accent1 2 2 5 2 2" xfId="26102"/>
    <cellStyle name="40% - Accent1 2 2 5 3" xfId="23806"/>
    <cellStyle name="40% - Accent1 2 2 6" xfId="1687"/>
    <cellStyle name="40% - Accent1 2 2 6 2" xfId="3983"/>
    <cellStyle name="40% - Accent1 2 2 6 2 2" xfId="26758"/>
    <cellStyle name="40% - Accent1 2 2 6 3" xfId="24462"/>
    <cellStyle name="40% - Accent1 2 2 7" xfId="4639"/>
    <cellStyle name="40% - Accent1 2 2 7 2" xfId="27414"/>
    <cellStyle name="40% - Accent1 2 2 8" xfId="5295"/>
    <cellStyle name="40% - Accent1 2 2 8 2" xfId="28070"/>
    <cellStyle name="40% - Accent1 2 2 9" xfId="5951"/>
    <cellStyle name="40% - Accent1 2 2 9 2" xfId="28726"/>
    <cellStyle name="40% - Accent1 2 20" xfId="11769"/>
    <cellStyle name="40% - Accent1 2 20 2" xfId="34544"/>
    <cellStyle name="40% - Accent1 2 21" xfId="12425"/>
    <cellStyle name="40% - Accent1 2 21 2" xfId="35200"/>
    <cellStyle name="40% - Accent1 2 22" xfId="13081"/>
    <cellStyle name="40% - Accent1 2 22 2" xfId="35856"/>
    <cellStyle name="40% - Accent1 2 23" xfId="13737"/>
    <cellStyle name="40% - Accent1 2 23 2" xfId="36512"/>
    <cellStyle name="40% - Accent1 2 24" xfId="14393"/>
    <cellStyle name="40% - Accent1 2 24 2" xfId="37168"/>
    <cellStyle name="40% - Accent1 2 25" xfId="15049"/>
    <cellStyle name="40% - Accent1 2 25 2" xfId="37824"/>
    <cellStyle name="40% - Accent1 2 26" xfId="15705"/>
    <cellStyle name="40% - Accent1 2 26 2" xfId="38480"/>
    <cellStyle name="40% - Accent1 2 27" xfId="16361"/>
    <cellStyle name="40% - Accent1 2 27 2" xfId="39136"/>
    <cellStyle name="40% - Accent1 2 28" xfId="17017"/>
    <cellStyle name="40% - Accent1 2 28 2" xfId="39792"/>
    <cellStyle name="40% - Accent1 2 29" xfId="17673"/>
    <cellStyle name="40% - Accent1 2 29 2" xfId="40448"/>
    <cellStyle name="40% - Accent1 2 3" xfId="475"/>
    <cellStyle name="40% - Accent1 2 3 10" xfId="6706"/>
    <cellStyle name="40% - Accent1 2 3 10 2" xfId="29481"/>
    <cellStyle name="40% - Accent1 2 3 11" xfId="7362"/>
    <cellStyle name="40% - Accent1 2 3 11 2" xfId="30137"/>
    <cellStyle name="40% - Accent1 2 3 12" xfId="8018"/>
    <cellStyle name="40% - Accent1 2 3 12 2" xfId="30793"/>
    <cellStyle name="40% - Accent1 2 3 13" xfId="8674"/>
    <cellStyle name="40% - Accent1 2 3 13 2" xfId="31449"/>
    <cellStyle name="40% - Accent1 2 3 14" xfId="9330"/>
    <cellStyle name="40% - Accent1 2 3 14 2" xfId="32105"/>
    <cellStyle name="40% - Accent1 2 3 15" xfId="9986"/>
    <cellStyle name="40% - Accent1 2 3 15 2" xfId="32761"/>
    <cellStyle name="40% - Accent1 2 3 16" xfId="10642"/>
    <cellStyle name="40% - Accent1 2 3 16 2" xfId="33417"/>
    <cellStyle name="40% - Accent1 2 3 17" xfId="11298"/>
    <cellStyle name="40% - Accent1 2 3 17 2" xfId="34073"/>
    <cellStyle name="40% - Accent1 2 3 18" xfId="11954"/>
    <cellStyle name="40% - Accent1 2 3 18 2" xfId="34729"/>
    <cellStyle name="40% - Accent1 2 3 19" xfId="12610"/>
    <cellStyle name="40% - Accent1 2 3 19 2" xfId="35385"/>
    <cellStyle name="40% - Accent1 2 3 2" xfId="802"/>
    <cellStyle name="40% - Accent1 2 3 2 10" xfId="8346"/>
    <cellStyle name="40% - Accent1 2 3 2 10 2" xfId="31121"/>
    <cellStyle name="40% - Accent1 2 3 2 11" xfId="9002"/>
    <cellStyle name="40% - Accent1 2 3 2 11 2" xfId="31777"/>
    <cellStyle name="40% - Accent1 2 3 2 12" xfId="9658"/>
    <cellStyle name="40% - Accent1 2 3 2 12 2" xfId="32433"/>
    <cellStyle name="40% - Accent1 2 3 2 13" xfId="10314"/>
    <cellStyle name="40% - Accent1 2 3 2 13 2" xfId="33089"/>
    <cellStyle name="40% - Accent1 2 3 2 14" xfId="10970"/>
    <cellStyle name="40% - Accent1 2 3 2 14 2" xfId="33745"/>
    <cellStyle name="40% - Accent1 2 3 2 15" xfId="11626"/>
    <cellStyle name="40% - Accent1 2 3 2 15 2" xfId="34401"/>
    <cellStyle name="40% - Accent1 2 3 2 16" xfId="12282"/>
    <cellStyle name="40% - Accent1 2 3 2 16 2" xfId="35057"/>
    <cellStyle name="40% - Accent1 2 3 2 17" xfId="12938"/>
    <cellStyle name="40% - Accent1 2 3 2 17 2" xfId="35713"/>
    <cellStyle name="40% - Accent1 2 3 2 18" xfId="13594"/>
    <cellStyle name="40% - Accent1 2 3 2 18 2" xfId="36369"/>
    <cellStyle name="40% - Accent1 2 3 2 19" xfId="14250"/>
    <cellStyle name="40% - Accent1 2 3 2 19 2" xfId="37025"/>
    <cellStyle name="40% - Accent1 2 3 2 2" xfId="1458"/>
    <cellStyle name="40% - Accent1 2 3 2 2 2" xfId="3754"/>
    <cellStyle name="40% - Accent1 2 3 2 2 2 2" xfId="26529"/>
    <cellStyle name="40% - Accent1 2 3 2 2 3" xfId="24233"/>
    <cellStyle name="40% - Accent1 2 3 2 20" xfId="14906"/>
    <cellStyle name="40% - Accent1 2 3 2 20 2" xfId="37681"/>
    <cellStyle name="40% - Accent1 2 3 2 21" xfId="15562"/>
    <cellStyle name="40% - Accent1 2 3 2 21 2" xfId="38337"/>
    <cellStyle name="40% - Accent1 2 3 2 22" xfId="16218"/>
    <cellStyle name="40% - Accent1 2 3 2 22 2" xfId="38993"/>
    <cellStyle name="40% - Accent1 2 3 2 23" xfId="16874"/>
    <cellStyle name="40% - Accent1 2 3 2 23 2" xfId="39649"/>
    <cellStyle name="40% - Accent1 2 3 2 24" xfId="17530"/>
    <cellStyle name="40% - Accent1 2 3 2 24 2" xfId="40305"/>
    <cellStyle name="40% - Accent1 2 3 2 25" xfId="18186"/>
    <cellStyle name="40% - Accent1 2 3 2 25 2" xfId="40961"/>
    <cellStyle name="40% - Accent1 2 3 2 26" xfId="18842"/>
    <cellStyle name="40% - Accent1 2 3 2 26 2" xfId="41617"/>
    <cellStyle name="40% - Accent1 2 3 2 27" xfId="19498"/>
    <cellStyle name="40% - Accent1 2 3 2 27 2" xfId="42273"/>
    <cellStyle name="40% - Accent1 2 3 2 28" xfId="20154"/>
    <cellStyle name="40% - Accent1 2 3 2 28 2" xfId="42929"/>
    <cellStyle name="40% - Accent1 2 3 2 29" xfId="20810"/>
    <cellStyle name="40% - Accent1 2 3 2 29 2" xfId="43585"/>
    <cellStyle name="40% - Accent1 2 3 2 3" xfId="2114"/>
    <cellStyle name="40% - Accent1 2 3 2 3 2" xfId="4410"/>
    <cellStyle name="40% - Accent1 2 3 2 3 2 2" xfId="27185"/>
    <cellStyle name="40% - Accent1 2 3 2 3 3" xfId="24889"/>
    <cellStyle name="40% - Accent1 2 3 2 30" xfId="21466"/>
    <cellStyle name="40% - Accent1 2 3 2 30 2" xfId="44241"/>
    <cellStyle name="40% - Accent1 2 3 2 31" xfId="22122"/>
    <cellStyle name="40% - Accent1 2 3 2 31 2" xfId="44897"/>
    <cellStyle name="40% - Accent1 2 3 2 32" xfId="22778"/>
    <cellStyle name="40% - Accent1 2 3 2 32 2" xfId="45553"/>
    <cellStyle name="40% - Accent1 2 3 2 33" xfId="23577"/>
    <cellStyle name="40% - Accent1 2 3 2 4" xfId="5066"/>
    <cellStyle name="40% - Accent1 2 3 2 4 2" xfId="27841"/>
    <cellStyle name="40% - Accent1 2 3 2 5" xfId="5722"/>
    <cellStyle name="40% - Accent1 2 3 2 5 2" xfId="28497"/>
    <cellStyle name="40% - Accent1 2 3 2 6" xfId="6378"/>
    <cellStyle name="40% - Accent1 2 3 2 6 2" xfId="29153"/>
    <cellStyle name="40% - Accent1 2 3 2 7" xfId="3098"/>
    <cellStyle name="40% - Accent1 2 3 2 7 2" xfId="25873"/>
    <cellStyle name="40% - Accent1 2 3 2 8" xfId="7034"/>
    <cellStyle name="40% - Accent1 2 3 2 8 2" xfId="29809"/>
    <cellStyle name="40% - Accent1 2 3 2 9" xfId="7690"/>
    <cellStyle name="40% - Accent1 2 3 2 9 2" xfId="30465"/>
    <cellStyle name="40% - Accent1 2 3 20" xfId="13266"/>
    <cellStyle name="40% - Accent1 2 3 20 2" xfId="36041"/>
    <cellStyle name="40% - Accent1 2 3 21" xfId="13922"/>
    <cellStyle name="40% - Accent1 2 3 21 2" xfId="36697"/>
    <cellStyle name="40% - Accent1 2 3 22" xfId="14578"/>
    <cellStyle name="40% - Accent1 2 3 22 2" xfId="37353"/>
    <cellStyle name="40% - Accent1 2 3 23" xfId="15234"/>
    <cellStyle name="40% - Accent1 2 3 23 2" xfId="38009"/>
    <cellStyle name="40% - Accent1 2 3 24" xfId="15890"/>
    <cellStyle name="40% - Accent1 2 3 24 2" xfId="38665"/>
    <cellStyle name="40% - Accent1 2 3 25" xfId="16546"/>
    <cellStyle name="40% - Accent1 2 3 25 2" xfId="39321"/>
    <cellStyle name="40% - Accent1 2 3 26" xfId="17202"/>
    <cellStyle name="40% - Accent1 2 3 26 2" xfId="39977"/>
    <cellStyle name="40% - Accent1 2 3 27" xfId="17858"/>
    <cellStyle name="40% - Accent1 2 3 27 2" xfId="40633"/>
    <cellStyle name="40% - Accent1 2 3 28" xfId="18514"/>
    <cellStyle name="40% - Accent1 2 3 28 2" xfId="41289"/>
    <cellStyle name="40% - Accent1 2 3 29" xfId="19170"/>
    <cellStyle name="40% - Accent1 2 3 29 2" xfId="41945"/>
    <cellStyle name="40% - Accent1 2 3 3" xfId="1130"/>
    <cellStyle name="40% - Accent1 2 3 3 2" xfId="2770"/>
    <cellStyle name="40% - Accent1 2 3 3 2 2" xfId="25545"/>
    <cellStyle name="40% - Accent1 2 3 3 3" xfId="23905"/>
    <cellStyle name="40% - Accent1 2 3 30" xfId="19826"/>
    <cellStyle name="40% - Accent1 2 3 30 2" xfId="42601"/>
    <cellStyle name="40% - Accent1 2 3 31" xfId="20482"/>
    <cellStyle name="40% - Accent1 2 3 31 2" xfId="43257"/>
    <cellStyle name="40% - Accent1 2 3 32" xfId="21138"/>
    <cellStyle name="40% - Accent1 2 3 32 2" xfId="43913"/>
    <cellStyle name="40% - Accent1 2 3 33" xfId="21794"/>
    <cellStyle name="40% - Accent1 2 3 33 2" xfId="44569"/>
    <cellStyle name="40% - Accent1 2 3 34" xfId="22450"/>
    <cellStyle name="40% - Accent1 2 3 34 2" xfId="45225"/>
    <cellStyle name="40% - Accent1 2 3 35" xfId="23249"/>
    <cellStyle name="40% - Accent1 2 3 4" xfId="1786"/>
    <cellStyle name="40% - Accent1 2 3 4 2" xfId="3426"/>
    <cellStyle name="40% - Accent1 2 3 4 2 2" xfId="26201"/>
    <cellStyle name="40% - Accent1 2 3 4 3" xfId="24561"/>
    <cellStyle name="40% - Accent1 2 3 5" xfId="4082"/>
    <cellStyle name="40% - Accent1 2 3 5 2" xfId="26857"/>
    <cellStyle name="40% - Accent1 2 3 6" xfId="4738"/>
    <cellStyle name="40% - Accent1 2 3 6 2" xfId="27513"/>
    <cellStyle name="40% - Accent1 2 3 7" xfId="5394"/>
    <cellStyle name="40% - Accent1 2 3 7 2" xfId="28169"/>
    <cellStyle name="40% - Accent1 2 3 8" xfId="6050"/>
    <cellStyle name="40% - Accent1 2 3 8 2" xfId="28825"/>
    <cellStyle name="40% - Accent1 2 3 9" xfId="2442"/>
    <cellStyle name="40% - Accent1 2 3 9 2" xfId="25217"/>
    <cellStyle name="40% - Accent1 2 30" xfId="18329"/>
    <cellStyle name="40% - Accent1 2 30 2" xfId="41104"/>
    <cellStyle name="40% - Accent1 2 31" xfId="18985"/>
    <cellStyle name="40% - Accent1 2 31 2" xfId="41760"/>
    <cellStyle name="40% - Accent1 2 32" xfId="19641"/>
    <cellStyle name="40% - Accent1 2 32 2" xfId="42416"/>
    <cellStyle name="40% - Accent1 2 33" xfId="20297"/>
    <cellStyle name="40% - Accent1 2 33 2" xfId="43072"/>
    <cellStyle name="40% - Accent1 2 34" xfId="20953"/>
    <cellStyle name="40% - Accent1 2 34 2" xfId="43728"/>
    <cellStyle name="40% - Accent1 2 35" xfId="21609"/>
    <cellStyle name="40% - Accent1 2 35 2" xfId="44384"/>
    <cellStyle name="40% - Accent1 2 36" xfId="22265"/>
    <cellStyle name="40% - Accent1 2 36 2" xfId="45040"/>
    <cellStyle name="40% - Accent1 2 37" xfId="204"/>
    <cellStyle name="40% - Accent1 2 38" xfId="22921"/>
    <cellStyle name="40% - Accent1 2 4" xfId="617"/>
    <cellStyle name="40% - Accent1 2 4 10" xfId="8161"/>
    <cellStyle name="40% - Accent1 2 4 10 2" xfId="30936"/>
    <cellStyle name="40% - Accent1 2 4 11" xfId="8817"/>
    <cellStyle name="40% - Accent1 2 4 11 2" xfId="31592"/>
    <cellStyle name="40% - Accent1 2 4 12" xfId="9473"/>
    <cellStyle name="40% - Accent1 2 4 12 2" xfId="32248"/>
    <cellStyle name="40% - Accent1 2 4 13" xfId="10129"/>
    <cellStyle name="40% - Accent1 2 4 13 2" xfId="32904"/>
    <cellStyle name="40% - Accent1 2 4 14" xfId="10785"/>
    <cellStyle name="40% - Accent1 2 4 14 2" xfId="33560"/>
    <cellStyle name="40% - Accent1 2 4 15" xfId="11441"/>
    <cellStyle name="40% - Accent1 2 4 15 2" xfId="34216"/>
    <cellStyle name="40% - Accent1 2 4 16" xfId="12097"/>
    <cellStyle name="40% - Accent1 2 4 16 2" xfId="34872"/>
    <cellStyle name="40% - Accent1 2 4 17" xfId="12753"/>
    <cellStyle name="40% - Accent1 2 4 17 2" xfId="35528"/>
    <cellStyle name="40% - Accent1 2 4 18" xfId="13409"/>
    <cellStyle name="40% - Accent1 2 4 18 2" xfId="36184"/>
    <cellStyle name="40% - Accent1 2 4 19" xfId="14065"/>
    <cellStyle name="40% - Accent1 2 4 19 2" xfId="36840"/>
    <cellStyle name="40% - Accent1 2 4 2" xfId="1273"/>
    <cellStyle name="40% - Accent1 2 4 2 2" xfId="3569"/>
    <cellStyle name="40% - Accent1 2 4 2 2 2" xfId="26344"/>
    <cellStyle name="40% - Accent1 2 4 2 3" xfId="24048"/>
    <cellStyle name="40% - Accent1 2 4 20" xfId="14721"/>
    <cellStyle name="40% - Accent1 2 4 20 2" xfId="37496"/>
    <cellStyle name="40% - Accent1 2 4 21" xfId="15377"/>
    <cellStyle name="40% - Accent1 2 4 21 2" xfId="38152"/>
    <cellStyle name="40% - Accent1 2 4 22" xfId="16033"/>
    <cellStyle name="40% - Accent1 2 4 22 2" xfId="38808"/>
    <cellStyle name="40% - Accent1 2 4 23" xfId="16689"/>
    <cellStyle name="40% - Accent1 2 4 23 2" xfId="39464"/>
    <cellStyle name="40% - Accent1 2 4 24" xfId="17345"/>
    <cellStyle name="40% - Accent1 2 4 24 2" xfId="40120"/>
    <cellStyle name="40% - Accent1 2 4 25" xfId="18001"/>
    <cellStyle name="40% - Accent1 2 4 25 2" xfId="40776"/>
    <cellStyle name="40% - Accent1 2 4 26" xfId="18657"/>
    <cellStyle name="40% - Accent1 2 4 26 2" xfId="41432"/>
    <cellStyle name="40% - Accent1 2 4 27" xfId="19313"/>
    <cellStyle name="40% - Accent1 2 4 27 2" xfId="42088"/>
    <cellStyle name="40% - Accent1 2 4 28" xfId="19969"/>
    <cellStyle name="40% - Accent1 2 4 28 2" xfId="42744"/>
    <cellStyle name="40% - Accent1 2 4 29" xfId="20625"/>
    <cellStyle name="40% - Accent1 2 4 29 2" xfId="43400"/>
    <cellStyle name="40% - Accent1 2 4 3" xfId="1929"/>
    <cellStyle name="40% - Accent1 2 4 3 2" xfId="4225"/>
    <cellStyle name="40% - Accent1 2 4 3 2 2" xfId="27000"/>
    <cellStyle name="40% - Accent1 2 4 3 3" xfId="24704"/>
    <cellStyle name="40% - Accent1 2 4 30" xfId="21281"/>
    <cellStyle name="40% - Accent1 2 4 30 2" xfId="44056"/>
    <cellStyle name="40% - Accent1 2 4 31" xfId="21937"/>
    <cellStyle name="40% - Accent1 2 4 31 2" xfId="44712"/>
    <cellStyle name="40% - Accent1 2 4 32" xfId="22593"/>
    <cellStyle name="40% - Accent1 2 4 32 2" xfId="45368"/>
    <cellStyle name="40% - Accent1 2 4 33" xfId="23392"/>
    <cellStyle name="40% - Accent1 2 4 4" xfId="4881"/>
    <cellStyle name="40% - Accent1 2 4 4 2" xfId="27656"/>
    <cellStyle name="40% - Accent1 2 4 5" xfId="5537"/>
    <cellStyle name="40% - Accent1 2 4 5 2" xfId="28312"/>
    <cellStyle name="40% - Accent1 2 4 6" xfId="6193"/>
    <cellStyle name="40% - Accent1 2 4 6 2" xfId="28968"/>
    <cellStyle name="40% - Accent1 2 4 7" xfId="2913"/>
    <cellStyle name="40% - Accent1 2 4 7 2" xfId="25688"/>
    <cellStyle name="40% - Accent1 2 4 8" xfId="6849"/>
    <cellStyle name="40% - Accent1 2 4 8 2" xfId="29624"/>
    <cellStyle name="40% - Accent1 2 4 9" xfId="7505"/>
    <cellStyle name="40% - Accent1 2 4 9 2" xfId="30280"/>
    <cellStyle name="40% - Accent1 2 5" xfId="290"/>
    <cellStyle name="40% - Accent1 2 5 2" xfId="2585"/>
    <cellStyle name="40% - Accent1 2 5 2 2" xfId="25360"/>
    <cellStyle name="40% - Accent1 2 5 3" xfId="23064"/>
    <cellStyle name="40% - Accent1 2 6" xfId="945"/>
    <cellStyle name="40% - Accent1 2 6 2" xfId="3241"/>
    <cellStyle name="40% - Accent1 2 6 2 2" xfId="26016"/>
    <cellStyle name="40% - Accent1 2 6 3" xfId="23720"/>
    <cellStyle name="40% - Accent1 2 7" xfId="1601"/>
    <cellStyle name="40% - Accent1 2 7 2" xfId="3897"/>
    <cellStyle name="40% - Accent1 2 7 2 2" xfId="26672"/>
    <cellStyle name="40% - Accent1 2 7 3" xfId="24376"/>
    <cellStyle name="40% - Accent1 2 8" xfId="4553"/>
    <cellStyle name="40% - Accent1 2 8 2" xfId="27328"/>
    <cellStyle name="40% - Accent1 2 9" xfId="5209"/>
    <cellStyle name="40% - Accent1 2 9 2" xfId="27984"/>
    <cellStyle name="40% - Accent1 20" xfId="7161"/>
    <cellStyle name="40% - Accent1 20 2" xfId="29936"/>
    <cellStyle name="40% - Accent1 21" xfId="7817"/>
    <cellStyle name="40% - Accent1 21 2" xfId="30592"/>
    <cellStyle name="40% - Accent1 22" xfId="8473"/>
    <cellStyle name="40% - Accent1 22 2" xfId="31248"/>
    <cellStyle name="40% - Accent1 23" xfId="9129"/>
    <cellStyle name="40% - Accent1 23 2" xfId="31904"/>
    <cellStyle name="40% - Accent1 24" xfId="9785"/>
    <cellStyle name="40% - Accent1 24 2" xfId="32560"/>
    <cellStyle name="40% - Accent1 25" xfId="10441"/>
    <cellStyle name="40% - Accent1 25 2" xfId="33216"/>
    <cellStyle name="40% - Accent1 26" xfId="11097"/>
    <cellStyle name="40% - Accent1 26 2" xfId="33872"/>
    <cellStyle name="40% - Accent1 27" xfId="11753"/>
    <cellStyle name="40% - Accent1 27 2" xfId="34528"/>
    <cellStyle name="40% - Accent1 28" xfId="12409"/>
    <cellStyle name="40% - Accent1 28 2" xfId="35184"/>
    <cellStyle name="40% - Accent1 29" xfId="13065"/>
    <cellStyle name="40% - Accent1 29 2" xfId="35840"/>
    <cellStyle name="40% - Accent1 3" xfId="53"/>
    <cellStyle name="40% - Accent1 3 10" xfId="5880"/>
    <cellStyle name="40% - Accent1 3 10 2" xfId="28655"/>
    <cellStyle name="40% - Accent1 3 11" xfId="2272"/>
    <cellStyle name="40% - Accent1 3 11 2" xfId="25047"/>
    <cellStyle name="40% - Accent1 3 12" xfId="6536"/>
    <cellStyle name="40% - Accent1 3 12 2" xfId="29311"/>
    <cellStyle name="40% - Accent1 3 13" xfId="7192"/>
    <cellStyle name="40% - Accent1 3 13 2" xfId="29967"/>
    <cellStyle name="40% - Accent1 3 14" xfId="7848"/>
    <cellStyle name="40% - Accent1 3 14 2" xfId="30623"/>
    <cellStyle name="40% - Accent1 3 15" xfId="8504"/>
    <cellStyle name="40% - Accent1 3 15 2" xfId="31279"/>
    <cellStyle name="40% - Accent1 3 16" xfId="9160"/>
    <cellStyle name="40% - Accent1 3 16 2" xfId="31935"/>
    <cellStyle name="40% - Accent1 3 17" xfId="9816"/>
    <cellStyle name="40% - Accent1 3 17 2" xfId="32591"/>
    <cellStyle name="40% - Accent1 3 18" xfId="10472"/>
    <cellStyle name="40% - Accent1 3 18 2" xfId="33247"/>
    <cellStyle name="40% - Accent1 3 19" xfId="11128"/>
    <cellStyle name="40% - Accent1 3 19 2" xfId="33903"/>
    <cellStyle name="40% - Accent1 3 2" xfId="131"/>
    <cellStyle name="40% - Accent1 3 2 10" xfId="2327"/>
    <cellStyle name="40% - Accent1 3 2 10 2" xfId="25102"/>
    <cellStyle name="40% - Accent1 3 2 11" xfId="6591"/>
    <cellStyle name="40% - Accent1 3 2 11 2" xfId="29366"/>
    <cellStyle name="40% - Accent1 3 2 12" xfId="7247"/>
    <cellStyle name="40% - Accent1 3 2 12 2" xfId="30022"/>
    <cellStyle name="40% - Accent1 3 2 13" xfId="7903"/>
    <cellStyle name="40% - Accent1 3 2 13 2" xfId="30678"/>
    <cellStyle name="40% - Accent1 3 2 14" xfId="8559"/>
    <cellStyle name="40% - Accent1 3 2 14 2" xfId="31334"/>
    <cellStyle name="40% - Accent1 3 2 15" xfId="9215"/>
    <cellStyle name="40% - Accent1 3 2 15 2" xfId="31990"/>
    <cellStyle name="40% - Accent1 3 2 16" xfId="9871"/>
    <cellStyle name="40% - Accent1 3 2 16 2" xfId="32646"/>
    <cellStyle name="40% - Accent1 3 2 17" xfId="10527"/>
    <cellStyle name="40% - Accent1 3 2 17 2" xfId="33302"/>
    <cellStyle name="40% - Accent1 3 2 18" xfId="11183"/>
    <cellStyle name="40% - Accent1 3 2 18 2" xfId="33958"/>
    <cellStyle name="40% - Accent1 3 2 19" xfId="11839"/>
    <cellStyle name="40% - Accent1 3 2 19 2" xfId="34614"/>
    <cellStyle name="40% - Accent1 3 2 2" xfId="543"/>
    <cellStyle name="40% - Accent1 3 2 2 10" xfId="6776"/>
    <cellStyle name="40% - Accent1 3 2 2 10 2" xfId="29551"/>
    <cellStyle name="40% - Accent1 3 2 2 11" xfId="7432"/>
    <cellStyle name="40% - Accent1 3 2 2 11 2" xfId="30207"/>
    <cellStyle name="40% - Accent1 3 2 2 12" xfId="8088"/>
    <cellStyle name="40% - Accent1 3 2 2 12 2" xfId="30863"/>
    <cellStyle name="40% - Accent1 3 2 2 13" xfId="8744"/>
    <cellStyle name="40% - Accent1 3 2 2 13 2" xfId="31519"/>
    <cellStyle name="40% - Accent1 3 2 2 14" xfId="9400"/>
    <cellStyle name="40% - Accent1 3 2 2 14 2" xfId="32175"/>
    <cellStyle name="40% - Accent1 3 2 2 15" xfId="10056"/>
    <cellStyle name="40% - Accent1 3 2 2 15 2" xfId="32831"/>
    <cellStyle name="40% - Accent1 3 2 2 16" xfId="10712"/>
    <cellStyle name="40% - Accent1 3 2 2 16 2" xfId="33487"/>
    <cellStyle name="40% - Accent1 3 2 2 17" xfId="11368"/>
    <cellStyle name="40% - Accent1 3 2 2 17 2" xfId="34143"/>
    <cellStyle name="40% - Accent1 3 2 2 18" xfId="12024"/>
    <cellStyle name="40% - Accent1 3 2 2 18 2" xfId="34799"/>
    <cellStyle name="40% - Accent1 3 2 2 19" xfId="12680"/>
    <cellStyle name="40% - Accent1 3 2 2 19 2" xfId="35455"/>
    <cellStyle name="40% - Accent1 3 2 2 2" xfId="872"/>
    <cellStyle name="40% - Accent1 3 2 2 2 10" xfId="8416"/>
    <cellStyle name="40% - Accent1 3 2 2 2 10 2" xfId="31191"/>
    <cellStyle name="40% - Accent1 3 2 2 2 11" xfId="9072"/>
    <cellStyle name="40% - Accent1 3 2 2 2 11 2" xfId="31847"/>
    <cellStyle name="40% - Accent1 3 2 2 2 12" xfId="9728"/>
    <cellStyle name="40% - Accent1 3 2 2 2 12 2" xfId="32503"/>
    <cellStyle name="40% - Accent1 3 2 2 2 13" xfId="10384"/>
    <cellStyle name="40% - Accent1 3 2 2 2 13 2" xfId="33159"/>
    <cellStyle name="40% - Accent1 3 2 2 2 14" xfId="11040"/>
    <cellStyle name="40% - Accent1 3 2 2 2 14 2" xfId="33815"/>
    <cellStyle name="40% - Accent1 3 2 2 2 15" xfId="11696"/>
    <cellStyle name="40% - Accent1 3 2 2 2 15 2" xfId="34471"/>
    <cellStyle name="40% - Accent1 3 2 2 2 16" xfId="12352"/>
    <cellStyle name="40% - Accent1 3 2 2 2 16 2" xfId="35127"/>
    <cellStyle name="40% - Accent1 3 2 2 2 17" xfId="13008"/>
    <cellStyle name="40% - Accent1 3 2 2 2 17 2" xfId="35783"/>
    <cellStyle name="40% - Accent1 3 2 2 2 18" xfId="13664"/>
    <cellStyle name="40% - Accent1 3 2 2 2 18 2" xfId="36439"/>
    <cellStyle name="40% - Accent1 3 2 2 2 19" xfId="14320"/>
    <cellStyle name="40% - Accent1 3 2 2 2 19 2" xfId="37095"/>
    <cellStyle name="40% - Accent1 3 2 2 2 2" xfId="1528"/>
    <cellStyle name="40% - Accent1 3 2 2 2 2 2" xfId="3824"/>
    <cellStyle name="40% - Accent1 3 2 2 2 2 2 2" xfId="26599"/>
    <cellStyle name="40% - Accent1 3 2 2 2 2 3" xfId="24303"/>
    <cellStyle name="40% - Accent1 3 2 2 2 20" xfId="14976"/>
    <cellStyle name="40% - Accent1 3 2 2 2 20 2" xfId="37751"/>
    <cellStyle name="40% - Accent1 3 2 2 2 21" xfId="15632"/>
    <cellStyle name="40% - Accent1 3 2 2 2 21 2" xfId="38407"/>
    <cellStyle name="40% - Accent1 3 2 2 2 22" xfId="16288"/>
    <cellStyle name="40% - Accent1 3 2 2 2 22 2" xfId="39063"/>
    <cellStyle name="40% - Accent1 3 2 2 2 23" xfId="16944"/>
    <cellStyle name="40% - Accent1 3 2 2 2 23 2" xfId="39719"/>
    <cellStyle name="40% - Accent1 3 2 2 2 24" xfId="17600"/>
    <cellStyle name="40% - Accent1 3 2 2 2 24 2" xfId="40375"/>
    <cellStyle name="40% - Accent1 3 2 2 2 25" xfId="18256"/>
    <cellStyle name="40% - Accent1 3 2 2 2 25 2" xfId="41031"/>
    <cellStyle name="40% - Accent1 3 2 2 2 26" xfId="18912"/>
    <cellStyle name="40% - Accent1 3 2 2 2 26 2" xfId="41687"/>
    <cellStyle name="40% - Accent1 3 2 2 2 27" xfId="19568"/>
    <cellStyle name="40% - Accent1 3 2 2 2 27 2" xfId="42343"/>
    <cellStyle name="40% - Accent1 3 2 2 2 28" xfId="20224"/>
    <cellStyle name="40% - Accent1 3 2 2 2 28 2" xfId="42999"/>
    <cellStyle name="40% - Accent1 3 2 2 2 29" xfId="20880"/>
    <cellStyle name="40% - Accent1 3 2 2 2 29 2" xfId="43655"/>
    <cellStyle name="40% - Accent1 3 2 2 2 3" xfId="2184"/>
    <cellStyle name="40% - Accent1 3 2 2 2 3 2" xfId="4480"/>
    <cellStyle name="40% - Accent1 3 2 2 2 3 2 2" xfId="27255"/>
    <cellStyle name="40% - Accent1 3 2 2 2 3 3" xfId="24959"/>
    <cellStyle name="40% - Accent1 3 2 2 2 30" xfId="21536"/>
    <cellStyle name="40% - Accent1 3 2 2 2 30 2" xfId="44311"/>
    <cellStyle name="40% - Accent1 3 2 2 2 31" xfId="22192"/>
    <cellStyle name="40% - Accent1 3 2 2 2 31 2" xfId="44967"/>
    <cellStyle name="40% - Accent1 3 2 2 2 32" xfId="22848"/>
    <cellStyle name="40% - Accent1 3 2 2 2 32 2" xfId="45623"/>
    <cellStyle name="40% - Accent1 3 2 2 2 33" xfId="23647"/>
    <cellStyle name="40% - Accent1 3 2 2 2 4" xfId="5136"/>
    <cellStyle name="40% - Accent1 3 2 2 2 4 2" xfId="27911"/>
    <cellStyle name="40% - Accent1 3 2 2 2 5" xfId="5792"/>
    <cellStyle name="40% - Accent1 3 2 2 2 5 2" xfId="28567"/>
    <cellStyle name="40% - Accent1 3 2 2 2 6" xfId="6448"/>
    <cellStyle name="40% - Accent1 3 2 2 2 6 2" xfId="29223"/>
    <cellStyle name="40% - Accent1 3 2 2 2 7" xfId="3168"/>
    <cellStyle name="40% - Accent1 3 2 2 2 7 2" xfId="25943"/>
    <cellStyle name="40% - Accent1 3 2 2 2 8" xfId="7104"/>
    <cellStyle name="40% - Accent1 3 2 2 2 8 2" xfId="29879"/>
    <cellStyle name="40% - Accent1 3 2 2 2 9" xfId="7760"/>
    <cellStyle name="40% - Accent1 3 2 2 2 9 2" xfId="30535"/>
    <cellStyle name="40% - Accent1 3 2 2 20" xfId="13336"/>
    <cellStyle name="40% - Accent1 3 2 2 20 2" xfId="36111"/>
    <cellStyle name="40% - Accent1 3 2 2 21" xfId="13992"/>
    <cellStyle name="40% - Accent1 3 2 2 21 2" xfId="36767"/>
    <cellStyle name="40% - Accent1 3 2 2 22" xfId="14648"/>
    <cellStyle name="40% - Accent1 3 2 2 22 2" xfId="37423"/>
    <cellStyle name="40% - Accent1 3 2 2 23" xfId="15304"/>
    <cellStyle name="40% - Accent1 3 2 2 23 2" xfId="38079"/>
    <cellStyle name="40% - Accent1 3 2 2 24" xfId="15960"/>
    <cellStyle name="40% - Accent1 3 2 2 24 2" xfId="38735"/>
    <cellStyle name="40% - Accent1 3 2 2 25" xfId="16616"/>
    <cellStyle name="40% - Accent1 3 2 2 25 2" xfId="39391"/>
    <cellStyle name="40% - Accent1 3 2 2 26" xfId="17272"/>
    <cellStyle name="40% - Accent1 3 2 2 26 2" xfId="40047"/>
    <cellStyle name="40% - Accent1 3 2 2 27" xfId="17928"/>
    <cellStyle name="40% - Accent1 3 2 2 27 2" xfId="40703"/>
    <cellStyle name="40% - Accent1 3 2 2 28" xfId="18584"/>
    <cellStyle name="40% - Accent1 3 2 2 28 2" xfId="41359"/>
    <cellStyle name="40% - Accent1 3 2 2 29" xfId="19240"/>
    <cellStyle name="40% - Accent1 3 2 2 29 2" xfId="42015"/>
    <cellStyle name="40% - Accent1 3 2 2 3" xfId="1200"/>
    <cellStyle name="40% - Accent1 3 2 2 3 2" xfId="2840"/>
    <cellStyle name="40% - Accent1 3 2 2 3 2 2" xfId="25615"/>
    <cellStyle name="40% - Accent1 3 2 2 3 3" xfId="23975"/>
    <cellStyle name="40% - Accent1 3 2 2 30" xfId="19896"/>
    <cellStyle name="40% - Accent1 3 2 2 30 2" xfId="42671"/>
    <cellStyle name="40% - Accent1 3 2 2 31" xfId="20552"/>
    <cellStyle name="40% - Accent1 3 2 2 31 2" xfId="43327"/>
    <cellStyle name="40% - Accent1 3 2 2 32" xfId="21208"/>
    <cellStyle name="40% - Accent1 3 2 2 32 2" xfId="43983"/>
    <cellStyle name="40% - Accent1 3 2 2 33" xfId="21864"/>
    <cellStyle name="40% - Accent1 3 2 2 33 2" xfId="44639"/>
    <cellStyle name="40% - Accent1 3 2 2 34" xfId="22520"/>
    <cellStyle name="40% - Accent1 3 2 2 34 2" xfId="45295"/>
    <cellStyle name="40% - Accent1 3 2 2 35" xfId="23319"/>
    <cellStyle name="40% - Accent1 3 2 2 4" xfId="1856"/>
    <cellStyle name="40% - Accent1 3 2 2 4 2" xfId="3496"/>
    <cellStyle name="40% - Accent1 3 2 2 4 2 2" xfId="26271"/>
    <cellStyle name="40% - Accent1 3 2 2 4 3" xfId="24631"/>
    <cellStyle name="40% - Accent1 3 2 2 5" xfId="4152"/>
    <cellStyle name="40% - Accent1 3 2 2 5 2" xfId="26927"/>
    <cellStyle name="40% - Accent1 3 2 2 6" xfId="4808"/>
    <cellStyle name="40% - Accent1 3 2 2 6 2" xfId="27583"/>
    <cellStyle name="40% - Accent1 3 2 2 7" xfId="5464"/>
    <cellStyle name="40% - Accent1 3 2 2 7 2" xfId="28239"/>
    <cellStyle name="40% - Accent1 3 2 2 8" xfId="6120"/>
    <cellStyle name="40% - Accent1 3 2 2 8 2" xfId="28895"/>
    <cellStyle name="40% - Accent1 3 2 2 9" xfId="2512"/>
    <cellStyle name="40% - Accent1 3 2 2 9 2" xfId="25287"/>
    <cellStyle name="40% - Accent1 3 2 20" xfId="12495"/>
    <cellStyle name="40% - Accent1 3 2 20 2" xfId="35270"/>
    <cellStyle name="40% - Accent1 3 2 21" xfId="13151"/>
    <cellStyle name="40% - Accent1 3 2 21 2" xfId="35926"/>
    <cellStyle name="40% - Accent1 3 2 22" xfId="13807"/>
    <cellStyle name="40% - Accent1 3 2 22 2" xfId="36582"/>
    <cellStyle name="40% - Accent1 3 2 23" xfId="14463"/>
    <cellStyle name="40% - Accent1 3 2 23 2" xfId="37238"/>
    <cellStyle name="40% - Accent1 3 2 24" xfId="15119"/>
    <cellStyle name="40% - Accent1 3 2 24 2" xfId="37894"/>
    <cellStyle name="40% - Accent1 3 2 25" xfId="15775"/>
    <cellStyle name="40% - Accent1 3 2 25 2" xfId="38550"/>
    <cellStyle name="40% - Accent1 3 2 26" xfId="16431"/>
    <cellStyle name="40% - Accent1 3 2 26 2" xfId="39206"/>
    <cellStyle name="40% - Accent1 3 2 27" xfId="17087"/>
    <cellStyle name="40% - Accent1 3 2 27 2" xfId="39862"/>
    <cellStyle name="40% - Accent1 3 2 28" xfId="17743"/>
    <cellStyle name="40% - Accent1 3 2 28 2" xfId="40518"/>
    <cellStyle name="40% - Accent1 3 2 29" xfId="18399"/>
    <cellStyle name="40% - Accent1 3 2 29 2" xfId="41174"/>
    <cellStyle name="40% - Accent1 3 2 3" xfId="687"/>
    <cellStyle name="40% - Accent1 3 2 3 10" xfId="8231"/>
    <cellStyle name="40% - Accent1 3 2 3 10 2" xfId="31006"/>
    <cellStyle name="40% - Accent1 3 2 3 11" xfId="8887"/>
    <cellStyle name="40% - Accent1 3 2 3 11 2" xfId="31662"/>
    <cellStyle name="40% - Accent1 3 2 3 12" xfId="9543"/>
    <cellStyle name="40% - Accent1 3 2 3 12 2" xfId="32318"/>
    <cellStyle name="40% - Accent1 3 2 3 13" xfId="10199"/>
    <cellStyle name="40% - Accent1 3 2 3 13 2" xfId="32974"/>
    <cellStyle name="40% - Accent1 3 2 3 14" xfId="10855"/>
    <cellStyle name="40% - Accent1 3 2 3 14 2" xfId="33630"/>
    <cellStyle name="40% - Accent1 3 2 3 15" xfId="11511"/>
    <cellStyle name="40% - Accent1 3 2 3 15 2" xfId="34286"/>
    <cellStyle name="40% - Accent1 3 2 3 16" xfId="12167"/>
    <cellStyle name="40% - Accent1 3 2 3 16 2" xfId="34942"/>
    <cellStyle name="40% - Accent1 3 2 3 17" xfId="12823"/>
    <cellStyle name="40% - Accent1 3 2 3 17 2" xfId="35598"/>
    <cellStyle name="40% - Accent1 3 2 3 18" xfId="13479"/>
    <cellStyle name="40% - Accent1 3 2 3 18 2" xfId="36254"/>
    <cellStyle name="40% - Accent1 3 2 3 19" xfId="14135"/>
    <cellStyle name="40% - Accent1 3 2 3 19 2" xfId="36910"/>
    <cellStyle name="40% - Accent1 3 2 3 2" xfId="1343"/>
    <cellStyle name="40% - Accent1 3 2 3 2 2" xfId="3639"/>
    <cellStyle name="40% - Accent1 3 2 3 2 2 2" xfId="26414"/>
    <cellStyle name="40% - Accent1 3 2 3 2 3" xfId="24118"/>
    <cellStyle name="40% - Accent1 3 2 3 20" xfId="14791"/>
    <cellStyle name="40% - Accent1 3 2 3 20 2" xfId="37566"/>
    <cellStyle name="40% - Accent1 3 2 3 21" xfId="15447"/>
    <cellStyle name="40% - Accent1 3 2 3 21 2" xfId="38222"/>
    <cellStyle name="40% - Accent1 3 2 3 22" xfId="16103"/>
    <cellStyle name="40% - Accent1 3 2 3 22 2" xfId="38878"/>
    <cellStyle name="40% - Accent1 3 2 3 23" xfId="16759"/>
    <cellStyle name="40% - Accent1 3 2 3 23 2" xfId="39534"/>
    <cellStyle name="40% - Accent1 3 2 3 24" xfId="17415"/>
    <cellStyle name="40% - Accent1 3 2 3 24 2" xfId="40190"/>
    <cellStyle name="40% - Accent1 3 2 3 25" xfId="18071"/>
    <cellStyle name="40% - Accent1 3 2 3 25 2" xfId="40846"/>
    <cellStyle name="40% - Accent1 3 2 3 26" xfId="18727"/>
    <cellStyle name="40% - Accent1 3 2 3 26 2" xfId="41502"/>
    <cellStyle name="40% - Accent1 3 2 3 27" xfId="19383"/>
    <cellStyle name="40% - Accent1 3 2 3 27 2" xfId="42158"/>
    <cellStyle name="40% - Accent1 3 2 3 28" xfId="20039"/>
    <cellStyle name="40% - Accent1 3 2 3 28 2" xfId="42814"/>
    <cellStyle name="40% - Accent1 3 2 3 29" xfId="20695"/>
    <cellStyle name="40% - Accent1 3 2 3 29 2" xfId="43470"/>
    <cellStyle name="40% - Accent1 3 2 3 3" xfId="1999"/>
    <cellStyle name="40% - Accent1 3 2 3 3 2" xfId="4295"/>
    <cellStyle name="40% - Accent1 3 2 3 3 2 2" xfId="27070"/>
    <cellStyle name="40% - Accent1 3 2 3 3 3" xfId="24774"/>
    <cellStyle name="40% - Accent1 3 2 3 30" xfId="21351"/>
    <cellStyle name="40% - Accent1 3 2 3 30 2" xfId="44126"/>
    <cellStyle name="40% - Accent1 3 2 3 31" xfId="22007"/>
    <cellStyle name="40% - Accent1 3 2 3 31 2" xfId="44782"/>
    <cellStyle name="40% - Accent1 3 2 3 32" xfId="22663"/>
    <cellStyle name="40% - Accent1 3 2 3 32 2" xfId="45438"/>
    <cellStyle name="40% - Accent1 3 2 3 33" xfId="23462"/>
    <cellStyle name="40% - Accent1 3 2 3 4" xfId="4951"/>
    <cellStyle name="40% - Accent1 3 2 3 4 2" xfId="27726"/>
    <cellStyle name="40% - Accent1 3 2 3 5" xfId="5607"/>
    <cellStyle name="40% - Accent1 3 2 3 5 2" xfId="28382"/>
    <cellStyle name="40% - Accent1 3 2 3 6" xfId="6263"/>
    <cellStyle name="40% - Accent1 3 2 3 6 2" xfId="29038"/>
    <cellStyle name="40% - Accent1 3 2 3 7" xfId="2983"/>
    <cellStyle name="40% - Accent1 3 2 3 7 2" xfId="25758"/>
    <cellStyle name="40% - Accent1 3 2 3 8" xfId="6919"/>
    <cellStyle name="40% - Accent1 3 2 3 8 2" xfId="29694"/>
    <cellStyle name="40% - Accent1 3 2 3 9" xfId="7575"/>
    <cellStyle name="40% - Accent1 3 2 3 9 2" xfId="30350"/>
    <cellStyle name="40% - Accent1 3 2 30" xfId="19055"/>
    <cellStyle name="40% - Accent1 3 2 30 2" xfId="41830"/>
    <cellStyle name="40% - Accent1 3 2 31" xfId="19711"/>
    <cellStyle name="40% - Accent1 3 2 31 2" xfId="42486"/>
    <cellStyle name="40% - Accent1 3 2 32" xfId="20367"/>
    <cellStyle name="40% - Accent1 3 2 32 2" xfId="43142"/>
    <cellStyle name="40% - Accent1 3 2 33" xfId="21023"/>
    <cellStyle name="40% - Accent1 3 2 33 2" xfId="43798"/>
    <cellStyle name="40% - Accent1 3 2 34" xfId="21679"/>
    <cellStyle name="40% - Accent1 3 2 34 2" xfId="44454"/>
    <cellStyle name="40% - Accent1 3 2 35" xfId="22335"/>
    <cellStyle name="40% - Accent1 3 2 35 2" xfId="45110"/>
    <cellStyle name="40% - Accent1 3 2 36" xfId="22991"/>
    <cellStyle name="40% - Accent1 3 2 4" xfId="360"/>
    <cellStyle name="40% - Accent1 3 2 4 2" xfId="2655"/>
    <cellStyle name="40% - Accent1 3 2 4 2 2" xfId="25430"/>
    <cellStyle name="40% - Accent1 3 2 4 3" xfId="23134"/>
    <cellStyle name="40% - Accent1 3 2 5" xfId="1015"/>
    <cellStyle name="40% - Accent1 3 2 5 2" xfId="3311"/>
    <cellStyle name="40% - Accent1 3 2 5 2 2" xfId="26086"/>
    <cellStyle name="40% - Accent1 3 2 5 3" xfId="23790"/>
    <cellStyle name="40% - Accent1 3 2 6" xfId="1671"/>
    <cellStyle name="40% - Accent1 3 2 6 2" xfId="3967"/>
    <cellStyle name="40% - Accent1 3 2 6 2 2" xfId="26742"/>
    <cellStyle name="40% - Accent1 3 2 6 3" xfId="24446"/>
    <cellStyle name="40% - Accent1 3 2 7" xfId="4623"/>
    <cellStyle name="40% - Accent1 3 2 7 2" xfId="27398"/>
    <cellStyle name="40% - Accent1 3 2 8" xfId="5279"/>
    <cellStyle name="40% - Accent1 3 2 8 2" xfId="28054"/>
    <cellStyle name="40% - Accent1 3 2 9" xfId="5935"/>
    <cellStyle name="40% - Accent1 3 2 9 2" xfId="28710"/>
    <cellStyle name="40% - Accent1 3 20" xfId="11784"/>
    <cellStyle name="40% - Accent1 3 20 2" xfId="34559"/>
    <cellStyle name="40% - Accent1 3 21" xfId="12440"/>
    <cellStyle name="40% - Accent1 3 21 2" xfId="35215"/>
    <cellStyle name="40% - Accent1 3 22" xfId="13096"/>
    <cellStyle name="40% - Accent1 3 22 2" xfId="35871"/>
    <cellStyle name="40% - Accent1 3 23" xfId="13752"/>
    <cellStyle name="40% - Accent1 3 23 2" xfId="36527"/>
    <cellStyle name="40% - Accent1 3 24" xfId="14408"/>
    <cellStyle name="40% - Accent1 3 24 2" xfId="37183"/>
    <cellStyle name="40% - Accent1 3 25" xfId="15064"/>
    <cellStyle name="40% - Accent1 3 25 2" xfId="37839"/>
    <cellStyle name="40% - Accent1 3 26" xfId="15720"/>
    <cellStyle name="40% - Accent1 3 26 2" xfId="38495"/>
    <cellStyle name="40% - Accent1 3 27" xfId="16376"/>
    <cellStyle name="40% - Accent1 3 27 2" xfId="39151"/>
    <cellStyle name="40% - Accent1 3 28" xfId="17032"/>
    <cellStyle name="40% - Accent1 3 28 2" xfId="39807"/>
    <cellStyle name="40% - Accent1 3 29" xfId="17688"/>
    <cellStyle name="40% - Accent1 3 29 2" xfId="40463"/>
    <cellStyle name="40% - Accent1 3 3" xfId="489"/>
    <cellStyle name="40% - Accent1 3 3 10" xfId="6721"/>
    <cellStyle name="40% - Accent1 3 3 10 2" xfId="29496"/>
    <cellStyle name="40% - Accent1 3 3 11" xfId="7377"/>
    <cellStyle name="40% - Accent1 3 3 11 2" xfId="30152"/>
    <cellStyle name="40% - Accent1 3 3 12" xfId="8033"/>
    <cellStyle name="40% - Accent1 3 3 12 2" xfId="30808"/>
    <cellStyle name="40% - Accent1 3 3 13" xfId="8689"/>
    <cellStyle name="40% - Accent1 3 3 13 2" xfId="31464"/>
    <cellStyle name="40% - Accent1 3 3 14" xfId="9345"/>
    <cellStyle name="40% - Accent1 3 3 14 2" xfId="32120"/>
    <cellStyle name="40% - Accent1 3 3 15" xfId="10001"/>
    <cellStyle name="40% - Accent1 3 3 15 2" xfId="32776"/>
    <cellStyle name="40% - Accent1 3 3 16" xfId="10657"/>
    <cellStyle name="40% - Accent1 3 3 16 2" xfId="33432"/>
    <cellStyle name="40% - Accent1 3 3 17" xfId="11313"/>
    <cellStyle name="40% - Accent1 3 3 17 2" xfId="34088"/>
    <cellStyle name="40% - Accent1 3 3 18" xfId="11969"/>
    <cellStyle name="40% - Accent1 3 3 18 2" xfId="34744"/>
    <cellStyle name="40% - Accent1 3 3 19" xfId="12625"/>
    <cellStyle name="40% - Accent1 3 3 19 2" xfId="35400"/>
    <cellStyle name="40% - Accent1 3 3 2" xfId="817"/>
    <cellStyle name="40% - Accent1 3 3 2 10" xfId="8361"/>
    <cellStyle name="40% - Accent1 3 3 2 10 2" xfId="31136"/>
    <cellStyle name="40% - Accent1 3 3 2 11" xfId="9017"/>
    <cellStyle name="40% - Accent1 3 3 2 11 2" xfId="31792"/>
    <cellStyle name="40% - Accent1 3 3 2 12" xfId="9673"/>
    <cellStyle name="40% - Accent1 3 3 2 12 2" xfId="32448"/>
    <cellStyle name="40% - Accent1 3 3 2 13" xfId="10329"/>
    <cellStyle name="40% - Accent1 3 3 2 13 2" xfId="33104"/>
    <cellStyle name="40% - Accent1 3 3 2 14" xfId="10985"/>
    <cellStyle name="40% - Accent1 3 3 2 14 2" xfId="33760"/>
    <cellStyle name="40% - Accent1 3 3 2 15" xfId="11641"/>
    <cellStyle name="40% - Accent1 3 3 2 15 2" xfId="34416"/>
    <cellStyle name="40% - Accent1 3 3 2 16" xfId="12297"/>
    <cellStyle name="40% - Accent1 3 3 2 16 2" xfId="35072"/>
    <cellStyle name="40% - Accent1 3 3 2 17" xfId="12953"/>
    <cellStyle name="40% - Accent1 3 3 2 17 2" xfId="35728"/>
    <cellStyle name="40% - Accent1 3 3 2 18" xfId="13609"/>
    <cellStyle name="40% - Accent1 3 3 2 18 2" xfId="36384"/>
    <cellStyle name="40% - Accent1 3 3 2 19" xfId="14265"/>
    <cellStyle name="40% - Accent1 3 3 2 19 2" xfId="37040"/>
    <cellStyle name="40% - Accent1 3 3 2 2" xfId="1473"/>
    <cellStyle name="40% - Accent1 3 3 2 2 2" xfId="3769"/>
    <cellStyle name="40% - Accent1 3 3 2 2 2 2" xfId="26544"/>
    <cellStyle name="40% - Accent1 3 3 2 2 3" xfId="24248"/>
    <cellStyle name="40% - Accent1 3 3 2 20" xfId="14921"/>
    <cellStyle name="40% - Accent1 3 3 2 20 2" xfId="37696"/>
    <cellStyle name="40% - Accent1 3 3 2 21" xfId="15577"/>
    <cellStyle name="40% - Accent1 3 3 2 21 2" xfId="38352"/>
    <cellStyle name="40% - Accent1 3 3 2 22" xfId="16233"/>
    <cellStyle name="40% - Accent1 3 3 2 22 2" xfId="39008"/>
    <cellStyle name="40% - Accent1 3 3 2 23" xfId="16889"/>
    <cellStyle name="40% - Accent1 3 3 2 23 2" xfId="39664"/>
    <cellStyle name="40% - Accent1 3 3 2 24" xfId="17545"/>
    <cellStyle name="40% - Accent1 3 3 2 24 2" xfId="40320"/>
    <cellStyle name="40% - Accent1 3 3 2 25" xfId="18201"/>
    <cellStyle name="40% - Accent1 3 3 2 25 2" xfId="40976"/>
    <cellStyle name="40% - Accent1 3 3 2 26" xfId="18857"/>
    <cellStyle name="40% - Accent1 3 3 2 26 2" xfId="41632"/>
    <cellStyle name="40% - Accent1 3 3 2 27" xfId="19513"/>
    <cellStyle name="40% - Accent1 3 3 2 27 2" xfId="42288"/>
    <cellStyle name="40% - Accent1 3 3 2 28" xfId="20169"/>
    <cellStyle name="40% - Accent1 3 3 2 28 2" xfId="42944"/>
    <cellStyle name="40% - Accent1 3 3 2 29" xfId="20825"/>
    <cellStyle name="40% - Accent1 3 3 2 29 2" xfId="43600"/>
    <cellStyle name="40% - Accent1 3 3 2 3" xfId="2129"/>
    <cellStyle name="40% - Accent1 3 3 2 3 2" xfId="4425"/>
    <cellStyle name="40% - Accent1 3 3 2 3 2 2" xfId="27200"/>
    <cellStyle name="40% - Accent1 3 3 2 3 3" xfId="24904"/>
    <cellStyle name="40% - Accent1 3 3 2 30" xfId="21481"/>
    <cellStyle name="40% - Accent1 3 3 2 30 2" xfId="44256"/>
    <cellStyle name="40% - Accent1 3 3 2 31" xfId="22137"/>
    <cellStyle name="40% - Accent1 3 3 2 31 2" xfId="44912"/>
    <cellStyle name="40% - Accent1 3 3 2 32" xfId="22793"/>
    <cellStyle name="40% - Accent1 3 3 2 32 2" xfId="45568"/>
    <cellStyle name="40% - Accent1 3 3 2 33" xfId="23592"/>
    <cellStyle name="40% - Accent1 3 3 2 4" xfId="5081"/>
    <cellStyle name="40% - Accent1 3 3 2 4 2" xfId="27856"/>
    <cellStyle name="40% - Accent1 3 3 2 5" xfId="5737"/>
    <cellStyle name="40% - Accent1 3 3 2 5 2" xfId="28512"/>
    <cellStyle name="40% - Accent1 3 3 2 6" xfId="6393"/>
    <cellStyle name="40% - Accent1 3 3 2 6 2" xfId="29168"/>
    <cellStyle name="40% - Accent1 3 3 2 7" xfId="3113"/>
    <cellStyle name="40% - Accent1 3 3 2 7 2" xfId="25888"/>
    <cellStyle name="40% - Accent1 3 3 2 8" xfId="7049"/>
    <cellStyle name="40% - Accent1 3 3 2 8 2" xfId="29824"/>
    <cellStyle name="40% - Accent1 3 3 2 9" xfId="7705"/>
    <cellStyle name="40% - Accent1 3 3 2 9 2" xfId="30480"/>
    <cellStyle name="40% - Accent1 3 3 20" xfId="13281"/>
    <cellStyle name="40% - Accent1 3 3 20 2" xfId="36056"/>
    <cellStyle name="40% - Accent1 3 3 21" xfId="13937"/>
    <cellStyle name="40% - Accent1 3 3 21 2" xfId="36712"/>
    <cellStyle name="40% - Accent1 3 3 22" xfId="14593"/>
    <cellStyle name="40% - Accent1 3 3 22 2" xfId="37368"/>
    <cellStyle name="40% - Accent1 3 3 23" xfId="15249"/>
    <cellStyle name="40% - Accent1 3 3 23 2" xfId="38024"/>
    <cellStyle name="40% - Accent1 3 3 24" xfId="15905"/>
    <cellStyle name="40% - Accent1 3 3 24 2" xfId="38680"/>
    <cellStyle name="40% - Accent1 3 3 25" xfId="16561"/>
    <cellStyle name="40% - Accent1 3 3 25 2" xfId="39336"/>
    <cellStyle name="40% - Accent1 3 3 26" xfId="17217"/>
    <cellStyle name="40% - Accent1 3 3 26 2" xfId="39992"/>
    <cellStyle name="40% - Accent1 3 3 27" xfId="17873"/>
    <cellStyle name="40% - Accent1 3 3 27 2" xfId="40648"/>
    <cellStyle name="40% - Accent1 3 3 28" xfId="18529"/>
    <cellStyle name="40% - Accent1 3 3 28 2" xfId="41304"/>
    <cellStyle name="40% - Accent1 3 3 29" xfId="19185"/>
    <cellStyle name="40% - Accent1 3 3 29 2" xfId="41960"/>
    <cellStyle name="40% - Accent1 3 3 3" xfId="1145"/>
    <cellStyle name="40% - Accent1 3 3 3 2" xfId="2785"/>
    <cellStyle name="40% - Accent1 3 3 3 2 2" xfId="25560"/>
    <cellStyle name="40% - Accent1 3 3 3 3" xfId="23920"/>
    <cellStyle name="40% - Accent1 3 3 30" xfId="19841"/>
    <cellStyle name="40% - Accent1 3 3 30 2" xfId="42616"/>
    <cellStyle name="40% - Accent1 3 3 31" xfId="20497"/>
    <cellStyle name="40% - Accent1 3 3 31 2" xfId="43272"/>
    <cellStyle name="40% - Accent1 3 3 32" xfId="21153"/>
    <cellStyle name="40% - Accent1 3 3 32 2" xfId="43928"/>
    <cellStyle name="40% - Accent1 3 3 33" xfId="21809"/>
    <cellStyle name="40% - Accent1 3 3 33 2" xfId="44584"/>
    <cellStyle name="40% - Accent1 3 3 34" xfId="22465"/>
    <cellStyle name="40% - Accent1 3 3 34 2" xfId="45240"/>
    <cellStyle name="40% - Accent1 3 3 35" xfId="23264"/>
    <cellStyle name="40% - Accent1 3 3 4" xfId="1801"/>
    <cellStyle name="40% - Accent1 3 3 4 2" xfId="3441"/>
    <cellStyle name="40% - Accent1 3 3 4 2 2" xfId="26216"/>
    <cellStyle name="40% - Accent1 3 3 4 3" xfId="24576"/>
    <cellStyle name="40% - Accent1 3 3 5" xfId="4097"/>
    <cellStyle name="40% - Accent1 3 3 5 2" xfId="26872"/>
    <cellStyle name="40% - Accent1 3 3 6" xfId="4753"/>
    <cellStyle name="40% - Accent1 3 3 6 2" xfId="27528"/>
    <cellStyle name="40% - Accent1 3 3 7" xfId="5409"/>
    <cellStyle name="40% - Accent1 3 3 7 2" xfId="28184"/>
    <cellStyle name="40% - Accent1 3 3 8" xfId="6065"/>
    <cellStyle name="40% - Accent1 3 3 8 2" xfId="28840"/>
    <cellStyle name="40% - Accent1 3 3 9" xfId="2457"/>
    <cellStyle name="40% - Accent1 3 3 9 2" xfId="25232"/>
    <cellStyle name="40% - Accent1 3 30" xfId="18344"/>
    <cellStyle name="40% - Accent1 3 30 2" xfId="41119"/>
    <cellStyle name="40% - Accent1 3 31" xfId="19000"/>
    <cellStyle name="40% - Accent1 3 31 2" xfId="41775"/>
    <cellStyle name="40% - Accent1 3 32" xfId="19656"/>
    <cellStyle name="40% - Accent1 3 32 2" xfId="42431"/>
    <cellStyle name="40% - Accent1 3 33" xfId="20312"/>
    <cellStyle name="40% - Accent1 3 33 2" xfId="43087"/>
    <cellStyle name="40% - Accent1 3 34" xfId="20968"/>
    <cellStyle name="40% - Accent1 3 34 2" xfId="43743"/>
    <cellStyle name="40% - Accent1 3 35" xfId="21624"/>
    <cellStyle name="40% - Accent1 3 35 2" xfId="44399"/>
    <cellStyle name="40% - Accent1 3 36" xfId="22280"/>
    <cellStyle name="40% - Accent1 3 36 2" xfId="45055"/>
    <cellStyle name="40% - Accent1 3 37" xfId="219"/>
    <cellStyle name="40% - Accent1 3 38" xfId="22936"/>
    <cellStyle name="40% - Accent1 3 4" xfId="632"/>
    <cellStyle name="40% - Accent1 3 4 10" xfId="8176"/>
    <cellStyle name="40% - Accent1 3 4 10 2" xfId="30951"/>
    <cellStyle name="40% - Accent1 3 4 11" xfId="8832"/>
    <cellStyle name="40% - Accent1 3 4 11 2" xfId="31607"/>
    <cellStyle name="40% - Accent1 3 4 12" xfId="9488"/>
    <cellStyle name="40% - Accent1 3 4 12 2" xfId="32263"/>
    <cellStyle name="40% - Accent1 3 4 13" xfId="10144"/>
    <cellStyle name="40% - Accent1 3 4 13 2" xfId="32919"/>
    <cellStyle name="40% - Accent1 3 4 14" xfId="10800"/>
    <cellStyle name="40% - Accent1 3 4 14 2" xfId="33575"/>
    <cellStyle name="40% - Accent1 3 4 15" xfId="11456"/>
    <cellStyle name="40% - Accent1 3 4 15 2" xfId="34231"/>
    <cellStyle name="40% - Accent1 3 4 16" xfId="12112"/>
    <cellStyle name="40% - Accent1 3 4 16 2" xfId="34887"/>
    <cellStyle name="40% - Accent1 3 4 17" xfId="12768"/>
    <cellStyle name="40% - Accent1 3 4 17 2" xfId="35543"/>
    <cellStyle name="40% - Accent1 3 4 18" xfId="13424"/>
    <cellStyle name="40% - Accent1 3 4 18 2" xfId="36199"/>
    <cellStyle name="40% - Accent1 3 4 19" xfId="14080"/>
    <cellStyle name="40% - Accent1 3 4 19 2" xfId="36855"/>
    <cellStyle name="40% - Accent1 3 4 2" xfId="1288"/>
    <cellStyle name="40% - Accent1 3 4 2 2" xfId="3584"/>
    <cellStyle name="40% - Accent1 3 4 2 2 2" xfId="26359"/>
    <cellStyle name="40% - Accent1 3 4 2 3" xfId="24063"/>
    <cellStyle name="40% - Accent1 3 4 20" xfId="14736"/>
    <cellStyle name="40% - Accent1 3 4 20 2" xfId="37511"/>
    <cellStyle name="40% - Accent1 3 4 21" xfId="15392"/>
    <cellStyle name="40% - Accent1 3 4 21 2" xfId="38167"/>
    <cellStyle name="40% - Accent1 3 4 22" xfId="16048"/>
    <cellStyle name="40% - Accent1 3 4 22 2" xfId="38823"/>
    <cellStyle name="40% - Accent1 3 4 23" xfId="16704"/>
    <cellStyle name="40% - Accent1 3 4 23 2" xfId="39479"/>
    <cellStyle name="40% - Accent1 3 4 24" xfId="17360"/>
    <cellStyle name="40% - Accent1 3 4 24 2" xfId="40135"/>
    <cellStyle name="40% - Accent1 3 4 25" xfId="18016"/>
    <cellStyle name="40% - Accent1 3 4 25 2" xfId="40791"/>
    <cellStyle name="40% - Accent1 3 4 26" xfId="18672"/>
    <cellStyle name="40% - Accent1 3 4 26 2" xfId="41447"/>
    <cellStyle name="40% - Accent1 3 4 27" xfId="19328"/>
    <cellStyle name="40% - Accent1 3 4 27 2" xfId="42103"/>
    <cellStyle name="40% - Accent1 3 4 28" xfId="19984"/>
    <cellStyle name="40% - Accent1 3 4 28 2" xfId="42759"/>
    <cellStyle name="40% - Accent1 3 4 29" xfId="20640"/>
    <cellStyle name="40% - Accent1 3 4 29 2" xfId="43415"/>
    <cellStyle name="40% - Accent1 3 4 3" xfId="1944"/>
    <cellStyle name="40% - Accent1 3 4 3 2" xfId="4240"/>
    <cellStyle name="40% - Accent1 3 4 3 2 2" xfId="27015"/>
    <cellStyle name="40% - Accent1 3 4 3 3" xfId="24719"/>
    <cellStyle name="40% - Accent1 3 4 30" xfId="21296"/>
    <cellStyle name="40% - Accent1 3 4 30 2" xfId="44071"/>
    <cellStyle name="40% - Accent1 3 4 31" xfId="21952"/>
    <cellStyle name="40% - Accent1 3 4 31 2" xfId="44727"/>
    <cellStyle name="40% - Accent1 3 4 32" xfId="22608"/>
    <cellStyle name="40% - Accent1 3 4 32 2" xfId="45383"/>
    <cellStyle name="40% - Accent1 3 4 33" xfId="23407"/>
    <cellStyle name="40% - Accent1 3 4 4" xfId="4896"/>
    <cellStyle name="40% - Accent1 3 4 4 2" xfId="27671"/>
    <cellStyle name="40% - Accent1 3 4 5" xfId="5552"/>
    <cellStyle name="40% - Accent1 3 4 5 2" xfId="28327"/>
    <cellStyle name="40% - Accent1 3 4 6" xfId="6208"/>
    <cellStyle name="40% - Accent1 3 4 6 2" xfId="28983"/>
    <cellStyle name="40% - Accent1 3 4 7" xfId="2928"/>
    <cellStyle name="40% - Accent1 3 4 7 2" xfId="25703"/>
    <cellStyle name="40% - Accent1 3 4 8" xfId="6864"/>
    <cellStyle name="40% - Accent1 3 4 8 2" xfId="29639"/>
    <cellStyle name="40% - Accent1 3 4 9" xfId="7520"/>
    <cellStyle name="40% - Accent1 3 4 9 2" xfId="30295"/>
    <cellStyle name="40% - Accent1 3 5" xfId="305"/>
    <cellStyle name="40% - Accent1 3 5 2" xfId="2600"/>
    <cellStyle name="40% - Accent1 3 5 2 2" xfId="25375"/>
    <cellStyle name="40% - Accent1 3 5 3" xfId="23079"/>
    <cellStyle name="40% - Accent1 3 6" xfId="960"/>
    <cellStyle name="40% - Accent1 3 6 2" xfId="3256"/>
    <cellStyle name="40% - Accent1 3 6 2 2" xfId="26031"/>
    <cellStyle name="40% - Accent1 3 6 3" xfId="23735"/>
    <cellStyle name="40% - Accent1 3 7" xfId="1616"/>
    <cellStyle name="40% - Accent1 3 7 2" xfId="3912"/>
    <cellStyle name="40% - Accent1 3 7 2 2" xfId="26687"/>
    <cellStyle name="40% - Accent1 3 7 3" xfId="24391"/>
    <cellStyle name="40% - Accent1 3 8" xfId="4568"/>
    <cellStyle name="40% - Accent1 3 8 2" xfId="27343"/>
    <cellStyle name="40% - Accent1 3 9" xfId="5224"/>
    <cellStyle name="40% - Accent1 3 9 2" xfId="27999"/>
    <cellStyle name="40% - Accent1 30" xfId="13721"/>
    <cellStyle name="40% - Accent1 30 2" xfId="36496"/>
    <cellStyle name="40% - Accent1 31" xfId="14377"/>
    <cellStyle name="40% - Accent1 31 2" xfId="37152"/>
    <cellStyle name="40% - Accent1 32" xfId="15033"/>
    <cellStyle name="40% - Accent1 32 2" xfId="37808"/>
    <cellStyle name="40% - Accent1 33" xfId="15689"/>
    <cellStyle name="40% - Accent1 33 2" xfId="38464"/>
    <cellStyle name="40% - Accent1 34" xfId="16345"/>
    <cellStyle name="40% - Accent1 34 2" xfId="39120"/>
    <cellStyle name="40% - Accent1 35" xfId="17001"/>
    <cellStyle name="40% - Accent1 35 2" xfId="39776"/>
    <cellStyle name="40% - Accent1 36" xfId="17657"/>
    <cellStyle name="40% - Accent1 36 2" xfId="40432"/>
    <cellStyle name="40% - Accent1 37" xfId="18313"/>
    <cellStyle name="40% - Accent1 37 2" xfId="41088"/>
    <cellStyle name="40% - Accent1 38" xfId="18969"/>
    <cellStyle name="40% - Accent1 38 2" xfId="41744"/>
    <cellStyle name="40% - Accent1 39" xfId="19625"/>
    <cellStyle name="40% - Accent1 39 2" xfId="42400"/>
    <cellStyle name="40% - Accent1 4" xfId="88"/>
    <cellStyle name="40% - Accent1 4 10" xfId="5894"/>
    <cellStyle name="40% - Accent1 4 10 2" xfId="28669"/>
    <cellStyle name="40% - Accent1 4 11" xfId="2286"/>
    <cellStyle name="40% - Accent1 4 11 2" xfId="25061"/>
    <cellStyle name="40% - Accent1 4 12" xfId="6550"/>
    <cellStyle name="40% - Accent1 4 12 2" xfId="29325"/>
    <cellStyle name="40% - Accent1 4 13" xfId="7206"/>
    <cellStyle name="40% - Accent1 4 13 2" xfId="29981"/>
    <cellStyle name="40% - Accent1 4 14" xfId="7862"/>
    <cellStyle name="40% - Accent1 4 14 2" xfId="30637"/>
    <cellStyle name="40% - Accent1 4 15" xfId="8518"/>
    <cellStyle name="40% - Accent1 4 15 2" xfId="31293"/>
    <cellStyle name="40% - Accent1 4 16" xfId="9174"/>
    <cellStyle name="40% - Accent1 4 16 2" xfId="31949"/>
    <cellStyle name="40% - Accent1 4 17" xfId="9830"/>
    <cellStyle name="40% - Accent1 4 17 2" xfId="32605"/>
    <cellStyle name="40% - Accent1 4 18" xfId="10486"/>
    <cellStyle name="40% - Accent1 4 18 2" xfId="33261"/>
    <cellStyle name="40% - Accent1 4 19" xfId="11142"/>
    <cellStyle name="40% - Accent1 4 19 2" xfId="33917"/>
    <cellStyle name="40% - Accent1 4 2" xfId="159"/>
    <cellStyle name="40% - Accent1 4 2 10" xfId="2357"/>
    <cellStyle name="40% - Accent1 4 2 10 2" xfId="25132"/>
    <cellStyle name="40% - Accent1 4 2 11" xfId="6621"/>
    <cellStyle name="40% - Accent1 4 2 11 2" xfId="29396"/>
    <cellStyle name="40% - Accent1 4 2 12" xfId="7277"/>
    <cellStyle name="40% - Accent1 4 2 12 2" xfId="30052"/>
    <cellStyle name="40% - Accent1 4 2 13" xfId="7933"/>
    <cellStyle name="40% - Accent1 4 2 13 2" xfId="30708"/>
    <cellStyle name="40% - Accent1 4 2 14" xfId="8589"/>
    <cellStyle name="40% - Accent1 4 2 14 2" xfId="31364"/>
    <cellStyle name="40% - Accent1 4 2 15" xfId="9245"/>
    <cellStyle name="40% - Accent1 4 2 15 2" xfId="32020"/>
    <cellStyle name="40% - Accent1 4 2 16" xfId="9901"/>
    <cellStyle name="40% - Accent1 4 2 16 2" xfId="32676"/>
    <cellStyle name="40% - Accent1 4 2 17" xfId="10557"/>
    <cellStyle name="40% - Accent1 4 2 17 2" xfId="33332"/>
    <cellStyle name="40% - Accent1 4 2 18" xfId="11213"/>
    <cellStyle name="40% - Accent1 4 2 18 2" xfId="33988"/>
    <cellStyle name="40% - Accent1 4 2 19" xfId="11869"/>
    <cellStyle name="40% - Accent1 4 2 19 2" xfId="34644"/>
    <cellStyle name="40% - Accent1 4 2 2" xfId="573"/>
    <cellStyle name="40% - Accent1 4 2 2 10" xfId="6806"/>
    <cellStyle name="40% - Accent1 4 2 2 10 2" xfId="29581"/>
    <cellStyle name="40% - Accent1 4 2 2 11" xfId="7462"/>
    <cellStyle name="40% - Accent1 4 2 2 11 2" xfId="30237"/>
    <cellStyle name="40% - Accent1 4 2 2 12" xfId="8118"/>
    <cellStyle name="40% - Accent1 4 2 2 12 2" xfId="30893"/>
    <cellStyle name="40% - Accent1 4 2 2 13" xfId="8774"/>
    <cellStyle name="40% - Accent1 4 2 2 13 2" xfId="31549"/>
    <cellStyle name="40% - Accent1 4 2 2 14" xfId="9430"/>
    <cellStyle name="40% - Accent1 4 2 2 14 2" xfId="32205"/>
    <cellStyle name="40% - Accent1 4 2 2 15" xfId="10086"/>
    <cellStyle name="40% - Accent1 4 2 2 15 2" xfId="32861"/>
    <cellStyle name="40% - Accent1 4 2 2 16" xfId="10742"/>
    <cellStyle name="40% - Accent1 4 2 2 16 2" xfId="33517"/>
    <cellStyle name="40% - Accent1 4 2 2 17" xfId="11398"/>
    <cellStyle name="40% - Accent1 4 2 2 17 2" xfId="34173"/>
    <cellStyle name="40% - Accent1 4 2 2 18" xfId="12054"/>
    <cellStyle name="40% - Accent1 4 2 2 18 2" xfId="34829"/>
    <cellStyle name="40% - Accent1 4 2 2 19" xfId="12710"/>
    <cellStyle name="40% - Accent1 4 2 2 19 2" xfId="35485"/>
    <cellStyle name="40% - Accent1 4 2 2 2" xfId="902"/>
    <cellStyle name="40% - Accent1 4 2 2 2 10" xfId="8446"/>
    <cellStyle name="40% - Accent1 4 2 2 2 10 2" xfId="31221"/>
    <cellStyle name="40% - Accent1 4 2 2 2 11" xfId="9102"/>
    <cellStyle name="40% - Accent1 4 2 2 2 11 2" xfId="31877"/>
    <cellStyle name="40% - Accent1 4 2 2 2 12" xfId="9758"/>
    <cellStyle name="40% - Accent1 4 2 2 2 12 2" xfId="32533"/>
    <cellStyle name="40% - Accent1 4 2 2 2 13" xfId="10414"/>
    <cellStyle name="40% - Accent1 4 2 2 2 13 2" xfId="33189"/>
    <cellStyle name="40% - Accent1 4 2 2 2 14" xfId="11070"/>
    <cellStyle name="40% - Accent1 4 2 2 2 14 2" xfId="33845"/>
    <cellStyle name="40% - Accent1 4 2 2 2 15" xfId="11726"/>
    <cellStyle name="40% - Accent1 4 2 2 2 15 2" xfId="34501"/>
    <cellStyle name="40% - Accent1 4 2 2 2 16" xfId="12382"/>
    <cellStyle name="40% - Accent1 4 2 2 2 16 2" xfId="35157"/>
    <cellStyle name="40% - Accent1 4 2 2 2 17" xfId="13038"/>
    <cellStyle name="40% - Accent1 4 2 2 2 17 2" xfId="35813"/>
    <cellStyle name="40% - Accent1 4 2 2 2 18" xfId="13694"/>
    <cellStyle name="40% - Accent1 4 2 2 2 18 2" xfId="36469"/>
    <cellStyle name="40% - Accent1 4 2 2 2 19" xfId="14350"/>
    <cellStyle name="40% - Accent1 4 2 2 2 19 2" xfId="37125"/>
    <cellStyle name="40% - Accent1 4 2 2 2 2" xfId="1558"/>
    <cellStyle name="40% - Accent1 4 2 2 2 2 2" xfId="3854"/>
    <cellStyle name="40% - Accent1 4 2 2 2 2 2 2" xfId="26629"/>
    <cellStyle name="40% - Accent1 4 2 2 2 2 3" xfId="24333"/>
    <cellStyle name="40% - Accent1 4 2 2 2 20" xfId="15006"/>
    <cellStyle name="40% - Accent1 4 2 2 2 20 2" xfId="37781"/>
    <cellStyle name="40% - Accent1 4 2 2 2 21" xfId="15662"/>
    <cellStyle name="40% - Accent1 4 2 2 2 21 2" xfId="38437"/>
    <cellStyle name="40% - Accent1 4 2 2 2 22" xfId="16318"/>
    <cellStyle name="40% - Accent1 4 2 2 2 22 2" xfId="39093"/>
    <cellStyle name="40% - Accent1 4 2 2 2 23" xfId="16974"/>
    <cellStyle name="40% - Accent1 4 2 2 2 23 2" xfId="39749"/>
    <cellStyle name="40% - Accent1 4 2 2 2 24" xfId="17630"/>
    <cellStyle name="40% - Accent1 4 2 2 2 24 2" xfId="40405"/>
    <cellStyle name="40% - Accent1 4 2 2 2 25" xfId="18286"/>
    <cellStyle name="40% - Accent1 4 2 2 2 25 2" xfId="41061"/>
    <cellStyle name="40% - Accent1 4 2 2 2 26" xfId="18942"/>
    <cellStyle name="40% - Accent1 4 2 2 2 26 2" xfId="41717"/>
    <cellStyle name="40% - Accent1 4 2 2 2 27" xfId="19598"/>
    <cellStyle name="40% - Accent1 4 2 2 2 27 2" xfId="42373"/>
    <cellStyle name="40% - Accent1 4 2 2 2 28" xfId="20254"/>
    <cellStyle name="40% - Accent1 4 2 2 2 28 2" xfId="43029"/>
    <cellStyle name="40% - Accent1 4 2 2 2 29" xfId="20910"/>
    <cellStyle name="40% - Accent1 4 2 2 2 29 2" xfId="43685"/>
    <cellStyle name="40% - Accent1 4 2 2 2 3" xfId="2214"/>
    <cellStyle name="40% - Accent1 4 2 2 2 3 2" xfId="4510"/>
    <cellStyle name="40% - Accent1 4 2 2 2 3 2 2" xfId="27285"/>
    <cellStyle name="40% - Accent1 4 2 2 2 3 3" xfId="24989"/>
    <cellStyle name="40% - Accent1 4 2 2 2 30" xfId="21566"/>
    <cellStyle name="40% - Accent1 4 2 2 2 30 2" xfId="44341"/>
    <cellStyle name="40% - Accent1 4 2 2 2 31" xfId="22222"/>
    <cellStyle name="40% - Accent1 4 2 2 2 31 2" xfId="44997"/>
    <cellStyle name="40% - Accent1 4 2 2 2 32" xfId="22878"/>
    <cellStyle name="40% - Accent1 4 2 2 2 32 2" xfId="45653"/>
    <cellStyle name="40% - Accent1 4 2 2 2 33" xfId="23677"/>
    <cellStyle name="40% - Accent1 4 2 2 2 4" xfId="5166"/>
    <cellStyle name="40% - Accent1 4 2 2 2 4 2" xfId="27941"/>
    <cellStyle name="40% - Accent1 4 2 2 2 5" xfId="5822"/>
    <cellStyle name="40% - Accent1 4 2 2 2 5 2" xfId="28597"/>
    <cellStyle name="40% - Accent1 4 2 2 2 6" xfId="6478"/>
    <cellStyle name="40% - Accent1 4 2 2 2 6 2" xfId="29253"/>
    <cellStyle name="40% - Accent1 4 2 2 2 7" xfId="3198"/>
    <cellStyle name="40% - Accent1 4 2 2 2 7 2" xfId="25973"/>
    <cellStyle name="40% - Accent1 4 2 2 2 8" xfId="7134"/>
    <cellStyle name="40% - Accent1 4 2 2 2 8 2" xfId="29909"/>
    <cellStyle name="40% - Accent1 4 2 2 2 9" xfId="7790"/>
    <cellStyle name="40% - Accent1 4 2 2 2 9 2" xfId="30565"/>
    <cellStyle name="40% - Accent1 4 2 2 20" xfId="13366"/>
    <cellStyle name="40% - Accent1 4 2 2 20 2" xfId="36141"/>
    <cellStyle name="40% - Accent1 4 2 2 21" xfId="14022"/>
    <cellStyle name="40% - Accent1 4 2 2 21 2" xfId="36797"/>
    <cellStyle name="40% - Accent1 4 2 2 22" xfId="14678"/>
    <cellStyle name="40% - Accent1 4 2 2 22 2" xfId="37453"/>
    <cellStyle name="40% - Accent1 4 2 2 23" xfId="15334"/>
    <cellStyle name="40% - Accent1 4 2 2 23 2" xfId="38109"/>
    <cellStyle name="40% - Accent1 4 2 2 24" xfId="15990"/>
    <cellStyle name="40% - Accent1 4 2 2 24 2" xfId="38765"/>
    <cellStyle name="40% - Accent1 4 2 2 25" xfId="16646"/>
    <cellStyle name="40% - Accent1 4 2 2 25 2" xfId="39421"/>
    <cellStyle name="40% - Accent1 4 2 2 26" xfId="17302"/>
    <cellStyle name="40% - Accent1 4 2 2 26 2" xfId="40077"/>
    <cellStyle name="40% - Accent1 4 2 2 27" xfId="17958"/>
    <cellStyle name="40% - Accent1 4 2 2 27 2" xfId="40733"/>
    <cellStyle name="40% - Accent1 4 2 2 28" xfId="18614"/>
    <cellStyle name="40% - Accent1 4 2 2 28 2" xfId="41389"/>
    <cellStyle name="40% - Accent1 4 2 2 29" xfId="19270"/>
    <cellStyle name="40% - Accent1 4 2 2 29 2" xfId="42045"/>
    <cellStyle name="40% - Accent1 4 2 2 3" xfId="1230"/>
    <cellStyle name="40% - Accent1 4 2 2 3 2" xfId="2870"/>
    <cellStyle name="40% - Accent1 4 2 2 3 2 2" xfId="25645"/>
    <cellStyle name="40% - Accent1 4 2 2 3 3" xfId="24005"/>
    <cellStyle name="40% - Accent1 4 2 2 30" xfId="19926"/>
    <cellStyle name="40% - Accent1 4 2 2 30 2" xfId="42701"/>
    <cellStyle name="40% - Accent1 4 2 2 31" xfId="20582"/>
    <cellStyle name="40% - Accent1 4 2 2 31 2" xfId="43357"/>
    <cellStyle name="40% - Accent1 4 2 2 32" xfId="21238"/>
    <cellStyle name="40% - Accent1 4 2 2 32 2" xfId="44013"/>
    <cellStyle name="40% - Accent1 4 2 2 33" xfId="21894"/>
    <cellStyle name="40% - Accent1 4 2 2 33 2" xfId="44669"/>
    <cellStyle name="40% - Accent1 4 2 2 34" xfId="22550"/>
    <cellStyle name="40% - Accent1 4 2 2 34 2" xfId="45325"/>
    <cellStyle name="40% - Accent1 4 2 2 35" xfId="23349"/>
    <cellStyle name="40% - Accent1 4 2 2 4" xfId="1886"/>
    <cellStyle name="40% - Accent1 4 2 2 4 2" xfId="3526"/>
    <cellStyle name="40% - Accent1 4 2 2 4 2 2" xfId="26301"/>
    <cellStyle name="40% - Accent1 4 2 2 4 3" xfId="24661"/>
    <cellStyle name="40% - Accent1 4 2 2 5" xfId="4182"/>
    <cellStyle name="40% - Accent1 4 2 2 5 2" xfId="26957"/>
    <cellStyle name="40% - Accent1 4 2 2 6" xfId="4838"/>
    <cellStyle name="40% - Accent1 4 2 2 6 2" xfId="27613"/>
    <cellStyle name="40% - Accent1 4 2 2 7" xfId="5494"/>
    <cellStyle name="40% - Accent1 4 2 2 7 2" xfId="28269"/>
    <cellStyle name="40% - Accent1 4 2 2 8" xfId="6150"/>
    <cellStyle name="40% - Accent1 4 2 2 8 2" xfId="28925"/>
    <cellStyle name="40% - Accent1 4 2 2 9" xfId="2542"/>
    <cellStyle name="40% - Accent1 4 2 2 9 2" xfId="25317"/>
    <cellStyle name="40% - Accent1 4 2 20" xfId="12525"/>
    <cellStyle name="40% - Accent1 4 2 20 2" xfId="35300"/>
    <cellStyle name="40% - Accent1 4 2 21" xfId="13181"/>
    <cellStyle name="40% - Accent1 4 2 21 2" xfId="35956"/>
    <cellStyle name="40% - Accent1 4 2 22" xfId="13837"/>
    <cellStyle name="40% - Accent1 4 2 22 2" xfId="36612"/>
    <cellStyle name="40% - Accent1 4 2 23" xfId="14493"/>
    <cellStyle name="40% - Accent1 4 2 23 2" xfId="37268"/>
    <cellStyle name="40% - Accent1 4 2 24" xfId="15149"/>
    <cellStyle name="40% - Accent1 4 2 24 2" xfId="37924"/>
    <cellStyle name="40% - Accent1 4 2 25" xfId="15805"/>
    <cellStyle name="40% - Accent1 4 2 25 2" xfId="38580"/>
    <cellStyle name="40% - Accent1 4 2 26" xfId="16461"/>
    <cellStyle name="40% - Accent1 4 2 26 2" xfId="39236"/>
    <cellStyle name="40% - Accent1 4 2 27" xfId="17117"/>
    <cellStyle name="40% - Accent1 4 2 27 2" xfId="39892"/>
    <cellStyle name="40% - Accent1 4 2 28" xfId="17773"/>
    <cellStyle name="40% - Accent1 4 2 28 2" xfId="40548"/>
    <cellStyle name="40% - Accent1 4 2 29" xfId="18429"/>
    <cellStyle name="40% - Accent1 4 2 29 2" xfId="41204"/>
    <cellStyle name="40% - Accent1 4 2 3" xfId="717"/>
    <cellStyle name="40% - Accent1 4 2 3 10" xfId="8261"/>
    <cellStyle name="40% - Accent1 4 2 3 10 2" xfId="31036"/>
    <cellStyle name="40% - Accent1 4 2 3 11" xfId="8917"/>
    <cellStyle name="40% - Accent1 4 2 3 11 2" xfId="31692"/>
    <cellStyle name="40% - Accent1 4 2 3 12" xfId="9573"/>
    <cellStyle name="40% - Accent1 4 2 3 12 2" xfId="32348"/>
    <cellStyle name="40% - Accent1 4 2 3 13" xfId="10229"/>
    <cellStyle name="40% - Accent1 4 2 3 13 2" xfId="33004"/>
    <cellStyle name="40% - Accent1 4 2 3 14" xfId="10885"/>
    <cellStyle name="40% - Accent1 4 2 3 14 2" xfId="33660"/>
    <cellStyle name="40% - Accent1 4 2 3 15" xfId="11541"/>
    <cellStyle name="40% - Accent1 4 2 3 15 2" xfId="34316"/>
    <cellStyle name="40% - Accent1 4 2 3 16" xfId="12197"/>
    <cellStyle name="40% - Accent1 4 2 3 16 2" xfId="34972"/>
    <cellStyle name="40% - Accent1 4 2 3 17" xfId="12853"/>
    <cellStyle name="40% - Accent1 4 2 3 17 2" xfId="35628"/>
    <cellStyle name="40% - Accent1 4 2 3 18" xfId="13509"/>
    <cellStyle name="40% - Accent1 4 2 3 18 2" xfId="36284"/>
    <cellStyle name="40% - Accent1 4 2 3 19" xfId="14165"/>
    <cellStyle name="40% - Accent1 4 2 3 19 2" xfId="36940"/>
    <cellStyle name="40% - Accent1 4 2 3 2" xfId="1373"/>
    <cellStyle name="40% - Accent1 4 2 3 2 2" xfId="3669"/>
    <cellStyle name="40% - Accent1 4 2 3 2 2 2" xfId="26444"/>
    <cellStyle name="40% - Accent1 4 2 3 2 3" xfId="24148"/>
    <cellStyle name="40% - Accent1 4 2 3 20" xfId="14821"/>
    <cellStyle name="40% - Accent1 4 2 3 20 2" xfId="37596"/>
    <cellStyle name="40% - Accent1 4 2 3 21" xfId="15477"/>
    <cellStyle name="40% - Accent1 4 2 3 21 2" xfId="38252"/>
    <cellStyle name="40% - Accent1 4 2 3 22" xfId="16133"/>
    <cellStyle name="40% - Accent1 4 2 3 22 2" xfId="38908"/>
    <cellStyle name="40% - Accent1 4 2 3 23" xfId="16789"/>
    <cellStyle name="40% - Accent1 4 2 3 23 2" xfId="39564"/>
    <cellStyle name="40% - Accent1 4 2 3 24" xfId="17445"/>
    <cellStyle name="40% - Accent1 4 2 3 24 2" xfId="40220"/>
    <cellStyle name="40% - Accent1 4 2 3 25" xfId="18101"/>
    <cellStyle name="40% - Accent1 4 2 3 25 2" xfId="40876"/>
    <cellStyle name="40% - Accent1 4 2 3 26" xfId="18757"/>
    <cellStyle name="40% - Accent1 4 2 3 26 2" xfId="41532"/>
    <cellStyle name="40% - Accent1 4 2 3 27" xfId="19413"/>
    <cellStyle name="40% - Accent1 4 2 3 27 2" xfId="42188"/>
    <cellStyle name="40% - Accent1 4 2 3 28" xfId="20069"/>
    <cellStyle name="40% - Accent1 4 2 3 28 2" xfId="42844"/>
    <cellStyle name="40% - Accent1 4 2 3 29" xfId="20725"/>
    <cellStyle name="40% - Accent1 4 2 3 29 2" xfId="43500"/>
    <cellStyle name="40% - Accent1 4 2 3 3" xfId="2029"/>
    <cellStyle name="40% - Accent1 4 2 3 3 2" xfId="4325"/>
    <cellStyle name="40% - Accent1 4 2 3 3 2 2" xfId="27100"/>
    <cellStyle name="40% - Accent1 4 2 3 3 3" xfId="24804"/>
    <cellStyle name="40% - Accent1 4 2 3 30" xfId="21381"/>
    <cellStyle name="40% - Accent1 4 2 3 30 2" xfId="44156"/>
    <cellStyle name="40% - Accent1 4 2 3 31" xfId="22037"/>
    <cellStyle name="40% - Accent1 4 2 3 31 2" xfId="44812"/>
    <cellStyle name="40% - Accent1 4 2 3 32" xfId="22693"/>
    <cellStyle name="40% - Accent1 4 2 3 32 2" xfId="45468"/>
    <cellStyle name="40% - Accent1 4 2 3 33" xfId="23492"/>
    <cellStyle name="40% - Accent1 4 2 3 4" xfId="4981"/>
    <cellStyle name="40% - Accent1 4 2 3 4 2" xfId="27756"/>
    <cellStyle name="40% - Accent1 4 2 3 5" xfId="5637"/>
    <cellStyle name="40% - Accent1 4 2 3 5 2" xfId="28412"/>
    <cellStyle name="40% - Accent1 4 2 3 6" xfId="6293"/>
    <cellStyle name="40% - Accent1 4 2 3 6 2" xfId="29068"/>
    <cellStyle name="40% - Accent1 4 2 3 7" xfId="3013"/>
    <cellStyle name="40% - Accent1 4 2 3 7 2" xfId="25788"/>
    <cellStyle name="40% - Accent1 4 2 3 8" xfId="6949"/>
    <cellStyle name="40% - Accent1 4 2 3 8 2" xfId="29724"/>
    <cellStyle name="40% - Accent1 4 2 3 9" xfId="7605"/>
    <cellStyle name="40% - Accent1 4 2 3 9 2" xfId="30380"/>
    <cellStyle name="40% - Accent1 4 2 30" xfId="19085"/>
    <cellStyle name="40% - Accent1 4 2 30 2" xfId="41860"/>
    <cellStyle name="40% - Accent1 4 2 31" xfId="19741"/>
    <cellStyle name="40% - Accent1 4 2 31 2" xfId="42516"/>
    <cellStyle name="40% - Accent1 4 2 32" xfId="20397"/>
    <cellStyle name="40% - Accent1 4 2 32 2" xfId="43172"/>
    <cellStyle name="40% - Accent1 4 2 33" xfId="21053"/>
    <cellStyle name="40% - Accent1 4 2 33 2" xfId="43828"/>
    <cellStyle name="40% - Accent1 4 2 34" xfId="21709"/>
    <cellStyle name="40% - Accent1 4 2 34 2" xfId="44484"/>
    <cellStyle name="40% - Accent1 4 2 35" xfId="22365"/>
    <cellStyle name="40% - Accent1 4 2 35 2" xfId="45140"/>
    <cellStyle name="40% - Accent1 4 2 36" xfId="23021"/>
    <cellStyle name="40% - Accent1 4 2 4" xfId="390"/>
    <cellStyle name="40% - Accent1 4 2 4 2" xfId="2685"/>
    <cellStyle name="40% - Accent1 4 2 4 2 2" xfId="25460"/>
    <cellStyle name="40% - Accent1 4 2 4 3" xfId="23164"/>
    <cellStyle name="40% - Accent1 4 2 5" xfId="1045"/>
    <cellStyle name="40% - Accent1 4 2 5 2" xfId="3341"/>
    <cellStyle name="40% - Accent1 4 2 5 2 2" xfId="26116"/>
    <cellStyle name="40% - Accent1 4 2 5 3" xfId="23820"/>
    <cellStyle name="40% - Accent1 4 2 6" xfId="1701"/>
    <cellStyle name="40% - Accent1 4 2 6 2" xfId="3997"/>
    <cellStyle name="40% - Accent1 4 2 6 2 2" xfId="26772"/>
    <cellStyle name="40% - Accent1 4 2 6 3" xfId="24476"/>
    <cellStyle name="40% - Accent1 4 2 7" xfId="4653"/>
    <cellStyle name="40% - Accent1 4 2 7 2" xfId="27428"/>
    <cellStyle name="40% - Accent1 4 2 8" xfId="5309"/>
    <cellStyle name="40% - Accent1 4 2 8 2" xfId="28084"/>
    <cellStyle name="40% - Accent1 4 2 9" xfId="5965"/>
    <cellStyle name="40% - Accent1 4 2 9 2" xfId="28740"/>
    <cellStyle name="40% - Accent1 4 20" xfId="11798"/>
    <cellStyle name="40% - Accent1 4 20 2" xfId="34573"/>
    <cellStyle name="40% - Accent1 4 21" xfId="12454"/>
    <cellStyle name="40% - Accent1 4 21 2" xfId="35229"/>
    <cellStyle name="40% - Accent1 4 22" xfId="13110"/>
    <cellStyle name="40% - Accent1 4 22 2" xfId="35885"/>
    <cellStyle name="40% - Accent1 4 23" xfId="13766"/>
    <cellStyle name="40% - Accent1 4 23 2" xfId="36541"/>
    <cellStyle name="40% - Accent1 4 24" xfId="14422"/>
    <cellStyle name="40% - Accent1 4 24 2" xfId="37197"/>
    <cellStyle name="40% - Accent1 4 25" xfId="15078"/>
    <cellStyle name="40% - Accent1 4 25 2" xfId="37853"/>
    <cellStyle name="40% - Accent1 4 26" xfId="15734"/>
    <cellStyle name="40% - Accent1 4 26 2" xfId="38509"/>
    <cellStyle name="40% - Accent1 4 27" xfId="16390"/>
    <cellStyle name="40% - Accent1 4 27 2" xfId="39165"/>
    <cellStyle name="40% - Accent1 4 28" xfId="17046"/>
    <cellStyle name="40% - Accent1 4 28 2" xfId="39821"/>
    <cellStyle name="40% - Accent1 4 29" xfId="17702"/>
    <cellStyle name="40% - Accent1 4 29 2" xfId="40477"/>
    <cellStyle name="40% - Accent1 4 3" xfId="503"/>
    <cellStyle name="40% - Accent1 4 3 10" xfId="6735"/>
    <cellStyle name="40% - Accent1 4 3 10 2" xfId="29510"/>
    <cellStyle name="40% - Accent1 4 3 11" xfId="7391"/>
    <cellStyle name="40% - Accent1 4 3 11 2" xfId="30166"/>
    <cellStyle name="40% - Accent1 4 3 12" xfId="8047"/>
    <cellStyle name="40% - Accent1 4 3 12 2" xfId="30822"/>
    <cellStyle name="40% - Accent1 4 3 13" xfId="8703"/>
    <cellStyle name="40% - Accent1 4 3 13 2" xfId="31478"/>
    <cellStyle name="40% - Accent1 4 3 14" xfId="9359"/>
    <cellStyle name="40% - Accent1 4 3 14 2" xfId="32134"/>
    <cellStyle name="40% - Accent1 4 3 15" xfId="10015"/>
    <cellStyle name="40% - Accent1 4 3 15 2" xfId="32790"/>
    <cellStyle name="40% - Accent1 4 3 16" xfId="10671"/>
    <cellStyle name="40% - Accent1 4 3 16 2" xfId="33446"/>
    <cellStyle name="40% - Accent1 4 3 17" xfId="11327"/>
    <cellStyle name="40% - Accent1 4 3 17 2" xfId="34102"/>
    <cellStyle name="40% - Accent1 4 3 18" xfId="11983"/>
    <cellStyle name="40% - Accent1 4 3 18 2" xfId="34758"/>
    <cellStyle name="40% - Accent1 4 3 19" xfId="12639"/>
    <cellStyle name="40% - Accent1 4 3 19 2" xfId="35414"/>
    <cellStyle name="40% - Accent1 4 3 2" xfId="831"/>
    <cellStyle name="40% - Accent1 4 3 2 10" xfId="8375"/>
    <cellStyle name="40% - Accent1 4 3 2 10 2" xfId="31150"/>
    <cellStyle name="40% - Accent1 4 3 2 11" xfId="9031"/>
    <cellStyle name="40% - Accent1 4 3 2 11 2" xfId="31806"/>
    <cellStyle name="40% - Accent1 4 3 2 12" xfId="9687"/>
    <cellStyle name="40% - Accent1 4 3 2 12 2" xfId="32462"/>
    <cellStyle name="40% - Accent1 4 3 2 13" xfId="10343"/>
    <cellStyle name="40% - Accent1 4 3 2 13 2" xfId="33118"/>
    <cellStyle name="40% - Accent1 4 3 2 14" xfId="10999"/>
    <cellStyle name="40% - Accent1 4 3 2 14 2" xfId="33774"/>
    <cellStyle name="40% - Accent1 4 3 2 15" xfId="11655"/>
    <cellStyle name="40% - Accent1 4 3 2 15 2" xfId="34430"/>
    <cellStyle name="40% - Accent1 4 3 2 16" xfId="12311"/>
    <cellStyle name="40% - Accent1 4 3 2 16 2" xfId="35086"/>
    <cellStyle name="40% - Accent1 4 3 2 17" xfId="12967"/>
    <cellStyle name="40% - Accent1 4 3 2 17 2" xfId="35742"/>
    <cellStyle name="40% - Accent1 4 3 2 18" xfId="13623"/>
    <cellStyle name="40% - Accent1 4 3 2 18 2" xfId="36398"/>
    <cellStyle name="40% - Accent1 4 3 2 19" xfId="14279"/>
    <cellStyle name="40% - Accent1 4 3 2 19 2" xfId="37054"/>
    <cellStyle name="40% - Accent1 4 3 2 2" xfId="1487"/>
    <cellStyle name="40% - Accent1 4 3 2 2 2" xfId="3783"/>
    <cellStyle name="40% - Accent1 4 3 2 2 2 2" xfId="26558"/>
    <cellStyle name="40% - Accent1 4 3 2 2 3" xfId="24262"/>
    <cellStyle name="40% - Accent1 4 3 2 20" xfId="14935"/>
    <cellStyle name="40% - Accent1 4 3 2 20 2" xfId="37710"/>
    <cellStyle name="40% - Accent1 4 3 2 21" xfId="15591"/>
    <cellStyle name="40% - Accent1 4 3 2 21 2" xfId="38366"/>
    <cellStyle name="40% - Accent1 4 3 2 22" xfId="16247"/>
    <cellStyle name="40% - Accent1 4 3 2 22 2" xfId="39022"/>
    <cellStyle name="40% - Accent1 4 3 2 23" xfId="16903"/>
    <cellStyle name="40% - Accent1 4 3 2 23 2" xfId="39678"/>
    <cellStyle name="40% - Accent1 4 3 2 24" xfId="17559"/>
    <cellStyle name="40% - Accent1 4 3 2 24 2" xfId="40334"/>
    <cellStyle name="40% - Accent1 4 3 2 25" xfId="18215"/>
    <cellStyle name="40% - Accent1 4 3 2 25 2" xfId="40990"/>
    <cellStyle name="40% - Accent1 4 3 2 26" xfId="18871"/>
    <cellStyle name="40% - Accent1 4 3 2 26 2" xfId="41646"/>
    <cellStyle name="40% - Accent1 4 3 2 27" xfId="19527"/>
    <cellStyle name="40% - Accent1 4 3 2 27 2" xfId="42302"/>
    <cellStyle name="40% - Accent1 4 3 2 28" xfId="20183"/>
    <cellStyle name="40% - Accent1 4 3 2 28 2" xfId="42958"/>
    <cellStyle name="40% - Accent1 4 3 2 29" xfId="20839"/>
    <cellStyle name="40% - Accent1 4 3 2 29 2" xfId="43614"/>
    <cellStyle name="40% - Accent1 4 3 2 3" xfId="2143"/>
    <cellStyle name="40% - Accent1 4 3 2 3 2" xfId="4439"/>
    <cellStyle name="40% - Accent1 4 3 2 3 2 2" xfId="27214"/>
    <cellStyle name="40% - Accent1 4 3 2 3 3" xfId="24918"/>
    <cellStyle name="40% - Accent1 4 3 2 30" xfId="21495"/>
    <cellStyle name="40% - Accent1 4 3 2 30 2" xfId="44270"/>
    <cellStyle name="40% - Accent1 4 3 2 31" xfId="22151"/>
    <cellStyle name="40% - Accent1 4 3 2 31 2" xfId="44926"/>
    <cellStyle name="40% - Accent1 4 3 2 32" xfId="22807"/>
    <cellStyle name="40% - Accent1 4 3 2 32 2" xfId="45582"/>
    <cellStyle name="40% - Accent1 4 3 2 33" xfId="23606"/>
    <cellStyle name="40% - Accent1 4 3 2 4" xfId="5095"/>
    <cellStyle name="40% - Accent1 4 3 2 4 2" xfId="27870"/>
    <cellStyle name="40% - Accent1 4 3 2 5" xfId="5751"/>
    <cellStyle name="40% - Accent1 4 3 2 5 2" xfId="28526"/>
    <cellStyle name="40% - Accent1 4 3 2 6" xfId="6407"/>
    <cellStyle name="40% - Accent1 4 3 2 6 2" xfId="29182"/>
    <cellStyle name="40% - Accent1 4 3 2 7" xfId="3127"/>
    <cellStyle name="40% - Accent1 4 3 2 7 2" xfId="25902"/>
    <cellStyle name="40% - Accent1 4 3 2 8" xfId="7063"/>
    <cellStyle name="40% - Accent1 4 3 2 8 2" xfId="29838"/>
    <cellStyle name="40% - Accent1 4 3 2 9" xfId="7719"/>
    <cellStyle name="40% - Accent1 4 3 2 9 2" xfId="30494"/>
    <cellStyle name="40% - Accent1 4 3 20" xfId="13295"/>
    <cellStyle name="40% - Accent1 4 3 20 2" xfId="36070"/>
    <cellStyle name="40% - Accent1 4 3 21" xfId="13951"/>
    <cellStyle name="40% - Accent1 4 3 21 2" xfId="36726"/>
    <cellStyle name="40% - Accent1 4 3 22" xfId="14607"/>
    <cellStyle name="40% - Accent1 4 3 22 2" xfId="37382"/>
    <cellStyle name="40% - Accent1 4 3 23" xfId="15263"/>
    <cellStyle name="40% - Accent1 4 3 23 2" xfId="38038"/>
    <cellStyle name="40% - Accent1 4 3 24" xfId="15919"/>
    <cellStyle name="40% - Accent1 4 3 24 2" xfId="38694"/>
    <cellStyle name="40% - Accent1 4 3 25" xfId="16575"/>
    <cellStyle name="40% - Accent1 4 3 25 2" xfId="39350"/>
    <cellStyle name="40% - Accent1 4 3 26" xfId="17231"/>
    <cellStyle name="40% - Accent1 4 3 26 2" xfId="40006"/>
    <cellStyle name="40% - Accent1 4 3 27" xfId="17887"/>
    <cellStyle name="40% - Accent1 4 3 27 2" xfId="40662"/>
    <cellStyle name="40% - Accent1 4 3 28" xfId="18543"/>
    <cellStyle name="40% - Accent1 4 3 28 2" xfId="41318"/>
    <cellStyle name="40% - Accent1 4 3 29" xfId="19199"/>
    <cellStyle name="40% - Accent1 4 3 29 2" xfId="41974"/>
    <cellStyle name="40% - Accent1 4 3 3" xfId="1159"/>
    <cellStyle name="40% - Accent1 4 3 3 2" xfId="2799"/>
    <cellStyle name="40% - Accent1 4 3 3 2 2" xfId="25574"/>
    <cellStyle name="40% - Accent1 4 3 3 3" xfId="23934"/>
    <cellStyle name="40% - Accent1 4 3 30" xfId="19855"/>
    <cellStyle name="40% - Accent1 4 3 30 2" xfId="42630"/>
    <cellStyle name="40% - Accent1 4 3 31" xfId="20511"/>
    <cellStyle name="40% - Accent1 4 3 31 2" xfId="43286"/>
    <cellStyle name="40% - Accent1 4 3 32" xfId="21167"/>
    <cellStyle name="40% - Accent1 4 3 32 2" xfId="43942"/>
    <cellStyle name="40% - Accent1 4 3 33" xfId="21823"/>
    <cellStyle name="40% - Accent1 4 3 33 2" xfId="44598"/>
    <cellStyle name="40% - Accent1 4 3 34" xfId="22479"/>
    <cellStyle name="40% - Accent1 4 3 34 2" xfId="45254"/>
    <cellStyle name="40% - Accent1 4 3 35" xfId="23278"/>
    <cellStyle name="40% - Accent1 4 3 4" xfId="1815"/>
    <cellStyle name="40% - Accent1 4 3 4 2" xfId="3455"/>
    <cellStyle name="40% - Accent1 4 3 4 2 2" xfId="26230"/>
    <cellStyle name="40% - Accent1 4 3 4 3" xfId="24590"/>
    <cellStyle name="40% - Accent1 4 3 5" xfId="4111"/>
    <cellStyle name="40% - Accent1 4 3 5 2" xfId="26886"/>
    <cellStyle name="40% - Accent1 4 3 6" xfId="4767"/>
    <cellStyle name="40% - Accent1 4 3 6 2" xfId="27542"/>
    <cellStyle name="40% - Accent1 4 3 7" xfId="5423"/>
    <cellStyle name="40% - Accent1 4 3 7 2" xfId="28198"/>
    <cellStyle name="40% - Accent1 4 3 8" xfId="6079"/>
    <cellStyle name="40% - Accent1 4 3 8 2" xfId="28854"/>
    <cellStyle name="40% - Accent1 4 3 9" xfId="2471"/>
    <cellStyle name="40% - Accent1 4 3 9 2" xfId="25246"/>
    <cellStyle name="40% - Accent1 4 30" xfId="18358"/>
    <cellStyle name="40% - Accent1 4 30 2" xfId="41133"/>
    <cellStyle name="40% - Accent1 4 31" xfId="19014"/>
    <cellStyle name="40% - Accent1 4 31 2" xfId="41789"/>
    <cellStyle name="40% - Accent1 4 32" xfId="19670"/>
    <cellStyle name="40% - Accent1 4 32 2" xfId="42445"/>
    <cellStyle name="40% - Accent1 4 33" xfId="20326"/>
    <cellStyle name="40% - Accent1 4 33 2" xfId="43101"/>
    <cellStyle name="40% - Accent1 4 34" xfId="20982"/>
    <cellStyle name="40% - Accent1 4 34 2" xfId="43757"/>
    <cellStyle name="40% - Accent1 4 35" xfId="21638"/>
    <cellStyle name="40% - Accent1 4 35 2" xfId="44413"/>
    <cellStyle name="40% - Accent1 4 36" xfId="22294"/>
    <cellStyle name="40% - Accent1 4 36 2" xfId="45069"/>
    <cellStyle name="40% - Accent1 4 37" xfId="233"/>
    <cellStyle name="40% - Accent1 4 38" xfId="22950"/>
    <cellStyle name="40% - Accent1 4 4" xfId="646"/>
    <cellStyle name="40% - Accent1 4 4 10" xfId="8190"/>
    <cellStyle name="40% - Accent1 4 4 10 2" xfId="30965"/>
    <cellStyle name="40% - Accent1 4 4 11" xfId="8846"/>
    <cellStyle name="40% - Accent1 4 4 11 2" xfId="31621"/>
    <cellStyle name="40% - Accent1 4 4 12" xfId="9502"/>
    <cellStyle name="40% - Accent1 4 4 12 2" xfId="32277"/>
    <cellStyle name="40% - Accent1 4 4 13" xfId="10158"/>
    <cellStyle name="40% - Accent1 4 4 13 2" xfId="32933"/>
    <cellStyle name="40% - Accent1 4 4 14" xfId="10814"/>
    <cellStyle name="40% - Accent1 4 4 14 2" xfId="33589"/>
    <cellStyle name="40% - Accent1 4 4 15" xfId="11470"/>
    <cellStyle name="40% - Accent1 4 4 15 2" xfId="34245"/>
    <cellStyle name="40% - Accent1 4 4 16" xfId="12126"/>
    <cellStyle name="40% - Accent1 4 4 16 2" xfId="34901"/>
    <cellStyle name="40% - Accent1 4 4 17" xfId="12782"/>
    <cellStyle name="40% - Accent1 4 4 17 2" xfId="35557"/>
    <cellStyle name="40% - Accent1 4 4 18" xfId="13438"/>
    <cellStyle name="40% - Accent1 4 4 18 2" xfId="36213"/>
    <cellStyle name="40% - Accent1 4 4 19" xfId="14094"/>
    <cellStyle name="40% - Accent1 4 4 19 2" xfId="36869"/>
    <cellStyle name="40% - Accent1 4 4 2" xfId="1302"/>
    <cellStyle name="40% - Accent1 4 4 2 2" xfId="3598"/>
    <cellStyle name="40% - Accent1 4 4 2 2 2" xfId="26373"/>
    <cellStyle name="40% - Accent1 4 4 2 3" xfId="24077"/>
    <cellStyle name="40% - Accent1 4 4 20" xfId="14750"/>
    <cellStyle name="40% - Accent1 4 4 20 2" xfId="37525"/>
    <cellStyle name="40% - Accent1 4 4 21" xfId="15406"/>
    <cellStyle name="40% - Accent1 4 4 21 2" xfId="38181"/>
    <cellStyle name="40% - Accent1 4 4 22" xfId="16062"/>
    <cellStyle name="40% - Accent1 4 4 22 2" xfId="38837"/>
    <cellStyle name="40% - Accent1 4 4 23" xfId="16718"/>
    <cellStyle name="40% - Accent1 4 4 23 2" xfId="39493"/>
    <cellStyle name="40% - Accent1 4 4 24" xfId="17374"/>
    <cellStyle name="40% - Accent1 4 4 24 2" xfId="40149"/>
    <cellStyle name="40% - Accent1 4 4 25" xfId="18030"/>
    <cellStyle name="40% - Accent1 4 4 25 2" xfId="40805"/>
    <cellStyle name="40% - Accent1 4 4 26" xfId="18686"/>
    <cellStyle name="40% - Accent1 4 4 26 2" xfId="41461"/>
    <cellStyle name="40% - Accent1 4 4 27" xfId="19342"/>
    <cellStyle name="40% - Accent1 4 4 27 2" xfId="42117"/>
    <cellStyle name="40% - Accent1 4 4 28" xfId="19998"/>
    <cellStyle name="40% - Accent1 4 4 28 2" xfId="42773"/>
    <cellStyle name="40% - Accent1 4 4 29" xfId="20654"/>
    <cellStyle name="40% - Accent1 4 4 29 2" xfId="43429"/>
    <cellStyle name="40% - Accent1 4 4 3" xfId="1958"/>
    <cellStyle name="40% - Accent1 4 4 3 2" xfId="4254"/>
    <cellStyle name="40% - Accent1 4 4 3 2 2" xfId="27029"/>
    <cellStyle name="40% - Accent1 4 4 3 3" xfId="24733"/>
    <cellStyle name="40% - Accent1 4 4 30" xfId="21310"/>
    <cellStyle name="40% - Accent1 4 4 30 2" xfId="44085"/>
    <cellStyle name="40% - Accent1 4 4 31" xfId="21966"/>
    <cellStyle name="40% - Accent1 4 4 31 2" xfId="44741"/>
    <cellStyle name="40% - Accent1 4 4 32" xfId="22622"/>
    <cellStyle name="40% - Accent1 4 4 32 2" xfId="45397"/>
    <cellStyle name="40% - Accent1 4 4 33" xfId="23421"/>
    <cellStyle name="40% - Accent1 4 4 4" xfId="4910"/>
    <cellStyle name="40% - Accent1 4 4 4 2" xfId="27685"/>
    <cellStyle name="40% - Accent1 4 4 5" xfId="5566"/>
    <cellStyle name="40% - Accent1 4 4 5 2" xfId="28341"/>
    <cellStyle name="40% - Accent1 4 4 6" xfId="6222"/>
    <cellStyle name="40% - Accent1 4 4 6 2" xfId="28997"/>
    <cellStyle name="40% - Accent1 4 4 7" xfId="2942"/>
    <cellStyle name="40% - Accent1 4 4 7 2" xfId="25717"/>
    <cellStyle name="40% - Accent1 4 4 8" xfId="6878"/>
    <cellStyle name="40% - Accent1 4 4 8 2" xfId="29653"/>
    <cellStyle name="40% - Accent1 4 4 9" xfId="7534"/>
    <cellStyle name="40% - Accent1 4 4 9 2" xfId="30309"/>
    <cellStyle name="40% - Accent1 4 5" xfId="319"/>
    <cellStyle name="40% - Accent1 4 5 2" xfId="2614"/>
    <cellStyle name="40% - Accent1 4 5 2 2" xfId="25389"/>
    <cellStyle name="40% - Accent1 4 5 3" xfId="23093"/>
    <cellStyle name="40% - Accent1 4 6" xfId="974"/>
    <cellStyle name="40% - Accent1 4 6 2" xfId="3270"/>
    <cellStyle name="40% - Accent1 4 6 2 2" xfId="26045"/>
    <cellStyle name="40% - Accent1 4 6 3" xfId="23749"/>
    <cellStyle name="40% - Accent1 4 7" xfId="1630"/>
    <cellStyle name="40% - Accent1 4 7 2" xfId="3926"/>
    <cellStyle name="40% - Accent1 4 7 2 2" xfId="26701"/>
    <cellStyle name="40% - Accent1 4 7 3" xfId="24405"/>
    <cellStyle name="40% - Accent1 4 8" xfId="4582"/>
    <cellStyle name="40% - Accent1 4 8 2" xfId="27357"/>
    <cellStyle name="40% - Accent1 4 9" xfId="5238"/>
    <cellStyle name="40% - Accent1 4 9 2" xfId="28013"/>
    <cellStyle name="40% - Accent1 40" xfId="20281"/>
    <cellStyle name="40% - Accent1 40 2" xfId="43056"/>
    <cellStyle name="40% - Accent1 41" xfId="20937"/>
    <cellStyle name="40% - Accent1 41 2" xfId="43712"/>
    <cellStyle name="40% - Accent1 42" xfId="21593"/>
    <cellStyle name="40% - Accent1 42 2" xfId="44368"/>
    <cellStyle name="40% - Accent1 43" xfId="22249"/>
    <cellStyle name="40% - Accent1 43 2" xfId="45024"/>
    <cellStyle name="40% - Accent1 44" xfId="188"/>
    <cellStyle name="40% - Accent1 45" xfId="22905"/>
    <cellStyle name="40% - Accent1 5" xfId="102"/>
    <cellStyle name="40% - Accent1 5 10" xfId="5908"/>
    <cellStyle name="40% - Accent1 5 10 2" xfId="28683"/>
    <cellStyle name="40% - Accent1 5 11" xfId="2300"/>
    <cellStyle name="40% - Accent1 5 11 2" xfId="25075"/>
    <cellStyle name="40% - Accent1 5 12" xfId="6564"/>
    <cellStyle name="40% - Accent1 5 12 2" xfId="29339"/>
    <cellStyle name="40% - Accent1 5 13" xfId="7220"/>
    <cellStyle name="40% - Accent1 5 13 2" xfId="29995"/>
    <cellStyle name="40% - Accent1 5 14" xfId="7876"/>
    <cellStyle name="40% - Accent1 5 14 2" xfId="30651"/>
    <cellStyle name="40% - Accent1 5 15" xfId="8532"/>
    <cellStyle name="40% - Accent1 5 15 2" xfId="31307"/>
    <cellStyle name="40% - Accent1 5 16" xfId="9188"/>
    <cellStyle name="40% - Accent1 5 16 2" xfId="31963"/>
    <cellStyle name="40% - Accent1 5 17" xfId="9844"/>
    <cellStyle name="40% - Accent1 5 17 2" xfId="32619"/>
    <cellStyle name="40% - Accent1 5 18" xfId="10500"/>
    <cellStyle name="40% - Accent1 5 18 2" xfId="33275"/>
    <cellStyle name="40% - Accent1 5 19" xfId="11156"/>
    <cellStyle name="40% - Accent1 5 19 2" xfId="33931"/>
    <cellStyle name="40% - Accent1 5 2" xfId="173"/>
    <cellStyle name="40% - Accent1 5 2 10" xfId="2371"/>
    <cellStyle name="40% - Accent1 5 2 10 2" xfId="25146"/>
    <cellStyle name="40% - Accent1 5 2 11" xfId="6635"/>
    <cellStyle name="40% - Accent1 5 2 11 2" xfId="29410"/>
    <cellStyle name="40% - Accent1 5 2 12" xfId="7291"/>
    <cellStyle name="40% - Accent1 5 2 12 2" xfId="30066"/>
    <cellStyle name="40% - Accent1 5 2 13" xfId="7947"/>
    <cellStyle name="40% - Accent1 5 2 13 2" xfId="30722"/>
    <cellStyle name="40% - Accent1 5 2 14" xfId="8603"/>
    <cellStyle name="40% - Accent1 5 2 14 2" xfId="31378"/>
    <cellStyle name="40% - Accent1 5 2 15" xfId="9259"/>
    <cellStyle name="40% - Accent1 5 2 15 2" xfId="32034"/>
    <cellStyle name="40% - Accent1 5 2 16" xfId="9915"/>
    <cellStyle name="40% - Accent1 5 2 16 2" xfId="32690"/>
    <cellStyle name="40% - Accent1 5 2 17" xfId="10571"/>
    <cellStyle name="40% - Accent1 5 2 17 2" xfId="33346"/>
    <cellStyle name="40% - Accent1 5 2 18" xfId="11227"/>
    <cellStyle name="40% - Accent1 5 2 18 2" xfId="34002"/>
    <cellStyle name="40% - Accent1 5 2 19" xfId="11883"/>
    <cellStyle name="40% - Accent1 5 2 19 2" xfId="34658"/>
    <cellStyle name="40% - Accent1 5 2 2" xfId="587"/>
    <cellStyle name="40% - Accent1 5 2 2 10" xfId="6820"/>
    <cellStyle name="40% - Accent1 5 2 2 10 2" xfId="29595"/>
    <cellStyle name="40% - Accent1 5 2 2 11" xfId="7476"/>
    <cellStyle name="40% - Accent1 5 2 2 11 2" xfId="30251"/>
    <cellStyle name="40% - Accent1 5 2 2 12" xfId="8132"/>
    <cellStyle name="40% - Accent1 5 2 2 12 2" xfId="30907"/>
    <cellStyle name="40% - Accent1 5 2 2 13" xfId="8788"/>
    <cellStyle name="40% - Accent1 5 2 2 13 2" xfId="31563"/>
    <cellStyle name="40% - Accent1 5 2 2 14" xfId="9444"/>
    <cellStyle name="40% - Accent1 5 2 2 14 2" xfId="32219"/>
    <cellStyle name="40% - Accent1 5 2 2 15" xfId="10100"/>
    <cellStyle name="40% - Accent1 5 2 2 15 2" xfId="32875"/>
    <cellStyle name="40% - Accent1 5 2 2 16" xfId="10756"/>
    <cellStyle name="40% - Accent1 5 2 2 16 2" xfId="33531"/>
    <cellStyle name="40% - Accent1 5 2 2 17" xfId="11412"/>
    <cellStyle name="40% - Accent1 5 2 2 17 2" xfId="34187"/>
    <cellStyle name="40% - Accent1 5 2 2 18" xfId="12068"/>
    <cellStyle name="40% - Accent1 5 2 2 18 2" xfId="34843"/>
    <cellStyle name="40% - Accent1 5 2 2 19" xfId="12724"/>
    <cellStyle name="40% - Accent1 5 2 2 19 2" xfId="35499"/>
    <cellStyle name="40% - Accent1 5 2 2 2" xfId="916"/>
    <cellStyle name="40% - Accent1 5 2 2 2 10" xfId="8460"/>
    <cellStyle name="40% - Accent1 5 2 2 2 10 2" xfId="31235"/>
    <cellStyle name="40% - Accent1 5 2 2 2 11" xfId="9116"/>
    <cellStyle name="40% - Accent1 5 2 2 2 11 2" xfId="31891"/>
    <cellStyle name="40% - Accent1 5 2 2 2 12" xfId="9772"/>
    <cellStyle name="40% - Accent1 5 2 2 2 12 2" xfId="32547"/>
    <cellStyle name="40% - Accent1 5 2 2 2 13" xfId="10428"/>
    <cellStyle name="40% - Accent1 5 2 2 2 13 2" xfId="33203"/>
    <cellStyle name="40% - Accent1 5 2 2 2 14" xfId="11084"/>
    <cellStyle name="40% - Accent1 5 2 2 2 14 2" xfId="33859"/>
    <cellStyle name="40% - Accent1 5 2 2 2 15" xfId="11740"/>
    <cellStyle name="40% - Accent1 5 2 2 2 15 2" xfId="34515"/>
    <cellStyle name="40% - Accent1 5 2 2 2 16" xfId="12396"/>
    <cellStyle name="40% - Accent1 5 2 2 2 16 2" xfId="35171"/>
    <cellStyle name="40% - Accent1 5 2 2 2 17" xfId="13052"/>
    <cellStyle name="40% - Accent1 5 2 2 2 17 2" xfId="35827"/>
    <cellStyle name="40% - Accent1 5 2 2 2 18" xfId="13708"/>
    <cellStyle name="40% - Accent1 5 2 2 2 18 2" xfId="36483"/>
    <cellStyle name="40% - Accent1 5 2 2 2 19" xfId="14364"/>
    <cellStyle name="40% - Accent1 5 2 2 2 19 2" xfId="37139"/>
    <cellStyle name="40% - Accent1 5 2 2 2 2" xfId="1572"/>
    <cellStyle name="40% - Accent1 5 2 2 2 2 2" xfId="3868"/>
    <cellStyle name="40% - Accent1 5 2 2 2 2 2 2" xfId="26643"/>
    <cellStyle name="40% - Accent1 5 2 2 2 2 3" xfId="24347"/>
    <cellStyle name="40% - Accent1 5 2 2 2 20" xfId="15020"/>
    <cellStyle name="40% - Accent1 5 2 2 2 20 2" xfId="37795"/>
    <cellStyle name="40% - Accent1 5 2 2 2 21" xfId="15676"/>
    <cellStyle name="40% - Accent1 5 2 2 2 21 2" xfId="38451"/>
    <cellStyle name="40% - Accent1 5 2 2 2 22" xfId="16332"/>
    <cellStyle name="40% - Accent1 5 2 2 2 22 2" xfId="39107"/>
    <cellStyle name="40% - Accent1 5 2 2 2 23" xfId="16988"/>
    <cellStyle name="40% - Accent1 5 2 2 2 23 2" xfId="39763"/>
    <cellStyle name="40% - Accent1 5 2 2 2 24" xfId="17644"/>
    <cellStyle name="40% - Accent1 5 2 2 2 24 2" xfId="40419"/>
    <cellStyle name="40% - Accent1 5 2 2 2 25" xfId="18300"/>
    <cellStyle name="40% - Accent1 5 2 2 2 25 2" xfId="41075"/>
    <cellStyle name="40% - Accent1 5 2 2 2 26" xfId="18956"/>
    <cellStyle name="40% - Accent1 5 2 2 2 26 2" xfId="41731"/>
    <cellStyle name="40% - Accent1 5 2 2 2 27" xfId="19612"/>
    <cellStyle name="40% - Accent1 5 2 2 2 27 2" xfId="42387"/>
    <cellStyle name="40% - Accent1 5 2 2 2 28" xfId="20268"/>
    <cellStyle name="40% - Accent1 5 2 2 2 28 2" xfId="43043"/>
    <cellStyle name="40% - Accent1 5 2 2 2 29" xfId="20924"/>
    <cellStyle name="40% - Accent1 5 2 2 2 29 2" xfId="43699"/>
    <cellStyle name="40% - Accent1 5 2 2 2 3" xfId="2228"/>
    <cellStyle name="40% - Accent1 5 2 2 2 3 2" xfId="4524"/>
    <cellStyle name="40% - Accent1 5 2 2 2 3 2 2" xfId="27299"/>
    <cellStyle name="40% - Accent1 5 2 2 2 3 3" xfId="25003"/>
    <cellStyle name="40% - Accent1 5 2 2 2 30" xfId="21580"/>
    <cellStyle name="40% - Accent1 5 2 2 2 30 2" xfId="44355"/>
    <cellStyle name="40% - Accent1 5 2 2 2 31" xfId="22236"/>
    <cellStyle name="40% - Accent1 5 2 2 2 31 2" xfId="45011"/>
    <cellStyle name="40% - Accent1 5 2 2 2 32" xfId="22892"/>
    <cellStyle name="40% - Accent1 5 2 2 2 32 2" xfId="45667"/>
    <cellStyle name="40% - Accent1 5 2 2 2 33" xfId="23691"/>
    <cellStyle name="40% - Accent1 5 2 2 2 4" xfId="5180"/>
    <cellStyle name="40% - Accent1 5 2 2 2 4 2" xfId="27955"/>
    <cellStyle name="40% - Accent1 5 2 2 2 5" xfId="5836"/>
    <cellStyle name="40% - Accent1 5 2 2 2 5 2" xfId="28611"/>
    <cellStyle name="40% - Accent1 5 2 2 2 6" xfId="6492"/>
    <cellStyle name="40% - Accent1 5 2 2 2 6 2" xfId="29267"/>
    <cellStyle name="40% - Accent1 5 2 2 2 7" xfId="3212"/>
    <cellStyle name="40% - Accent1 5 2 2 2 7 2" xfId="25987"/>
    <cellStyle name="40% - Accent1 5 2 2 2 8" xfId="7148"/>
    <cellStyle name="40% - Accent1 5 2 2 2 8 2" xfId="29923"/>
    <cellStyle name="40% - Accent1 5 2 2 2 9" xfId="7804"/>
    <cellStyle name="40% - Accent1 5 2 2 2 9 2" xfId="30579"/>
    <cellStyle name="40% - Accent1 5 2 2 20" xfId="13380"/>
    <cellStyle name="40% - Accent1 5 2 2 20 2" xfId="36155"/>
    <cellStyle name="40% - Accent1 5 2 2 21" xfId="14036"/>
    <cellStyle name="40% - Accent1 5 2 2 21 2" xfId="36811"/>
    <cellStyle name="40% - Accent1 5 2 2 22" xfId="14692"/>
    <cellStyle name="40% - Accent1 5 2 2 22 2" xfId="37467"/>
    <cellStyle name="40% - Accent1 5 2 2 23" xfId="15348"/>
    <cellStyle name="40% - Accent1 5 2 2 23 2" xfId="38123"/>
    <cellStyle name="40% - Accent1 5 2 2 24" xfId="16004"/>
    <cellStyle name="40% - Accent1 5 2 2 24 2" xfId="38779"/>
    <cellStyle name="40% - Accent1 5 2 2 25" xfId="16660"/>
    <cellStyle name="40% - Accent1 5 2 2 25 2" xfId="39435"/>
    <cellStyle name="40% - Accent1 5 2 2 26" xfId="17316"/>
    <cellStyle name="40% - Accent1 5 2 2 26 2" xfId="40091"/>
    <cellStyle name="40% - Accent1 5 2 2 27" xfId="17972"/>
    <cellStyle name="40% - Accent1 5 2 2 27 2" xfId="40747"/>
    <cellStyle name="40% - Accent1 5 2 2 28" xfId="18628"/>
    <cellStyle name="40% - Accent1 5 2 2 28 2" xfId="41403"/>
    <cellStyle name="40% - Accent1 5 2 2 29" xfId="19284"/>
    <cellStyle name="40% - Accent1 5 2 2 29 2" xfId="42059"/>
    <cellStyle name="40% - Accent1 5 2 2 3" xfId="1244"/>
    <cellStyle name="40% - Accent1 5 2 2 3 2" xfId="2884"/>
    <cellStyle name="40% - Accent1 5 2 2 3 2 2" xfId="25659"/>
    <cellStyle name="40% - Accent1 5 2 2 3 3" xfId="24019"/>
    <cellStyle name="40% - Accent1 5 2 2 30" xfId="19940"/>
    <cellStyle name="40% - Accent1 5 2 2 30 2" xfId="42715"/>
    <cellStyle name="40% - Accent1 5 2 2 31" xfId="20596"/>
    <cellStyle name="40% - Accent1 5 2 2 31 2" xfId="43371"/>
    <cellStyle name="40% - Accent1 5 2 2 32" xfId="21252"/>
    <cellStyle name="40% - Accent1 5 2 2 32 2" xfId="44027"/>
    <cellStyle name="40% - Accent1 5 2 2 33" xfId="21908"/>
    <cellStyle name="40% - Accent1 5 2 2 33 2" xfId="44683"/>
    <cellStyle name="40% - Accent1 5 2 2 34" xfId="22564"/>
    <cellStyle name="40% - Accent1 5 2 2 34 2" xfId="45339"/>
    <cellStyle name="40% - Accent1 5 2 2 35" xfId="23363"/>
    <cellStyle name="40% - Accent1 5 2 2 4" xfId="1900"/>
    <cellStyle name="40% - Accent1 5 2 2 4 2" xfId="3540"/>
    <cellStyle name="40% - Accent1 5 2 2 4 2 2" xfId="26315"/>
    <cellStyle name="40% - Accent1 5 2 2 4 3" xfId="24675"/>
    <cellStyle name="40% - Accent1 5 2 2 5" xfId="4196"/>
    <cellStyle name="40% - Accent1 5 2 2 5 2" xfId="26971"/>
    <cellStyle name="40% - Accent1 5 2 2 6" xfId="4852"/>
    <cellStyle name="40% - Accent1 5 2 2 6 2" xfId="27627"/>
    <cellStyle name="40% - Accent1 5 2 2 7" xfId="5508"/>
    <cellStyle name="40% - Accent1 5 2 2 7 2" xfId="28283"/>
    <cellStyle name="40% - Accent1 5 2 2 8" xfId="6164"/>
    <cellStyle name="40% - Accent1 5 2 2 8 2" xfId="28939"/>
    <cellStyle name="40% - Accent1 5 2 2 9" xfId="2556"/>
    <cellStyle name="40% - Accent1 5 2 2 9 2" xfId="25331"/>
    <cellStyle name="40% - Accent1 5 2 20" xfId="12539"/>
    <cellStyle name="40% - Accent1 5 2 20 2" xfId="35314"/>
    <cellStyle name="40% - Accent1 5 2 21" xfId="13195"/>
    <cellStyle name="40% - Accent1 5 2 21 2" xfId="35970"/>
    <cellStyle name="40% - Accent1 5 2 22" xfId="13851"/>
    <cellStyle name="40% - Accent1 5 2 22 2" xfId="36626"/>
    <cellStyle name="40% - Accent1 5 2 23" xfId="14507"/>
    <cellStyle name="40% - Accent1 5 2 23 2" xfId="37282"/>
    <cellStyle name="40% - Accent1 5 2 24" xfId="15163"/>
    <cellStyle name="40% - Accent1 5 2 24 2" xfId="37938"/>
    <cellStyle name="40% - Accent1 5 2 25" xfId="15819"/>
    <cellStyle name="40% - Accent1 5 2 25 2" xfId="38594"/>
    <cellStyle name="40% - Accent1 5 2 26" xfId="16475"/>
    <cellStyle name="40% - Accent1 5 2 26 2" xfId="39250"/>
    <cellStyle name="40% - Accent1 5 2 27" xfId="17131"/>
    <cellStyle name="40% - Accent1 5 2 27 2" xfId="39906"/>
    <cellStyle name="40% - Accent1 5 2 28" xfId="17787"/>
    <cellStyle name="40% - Accent1 5 2 28 2" xfId="40562"/>
    <cellStyle name="40% - Accent1 5 2 29" xfId="18443"/>
    <cellStyle name="40% - Accent1 5 2 29 2" xfId="41218"/>
    <cellStyle name="40% - Accent1 5 2 3" xfId="731"/>
    <cellStyle name="40% - Accent1 5 2 3 10" xfId="8275"/>
    <cellStyle name="40% - Accent1 5 2 3 10 2" xfId="31050"/>
    <cellStyle name="40% - Accent1 5 2 3 11" xfId="8931"/>
    <cellStyle name="40% - Accent1 5 2 3 11 2" xfId="31706"/>
    <cellStyle name="40% - Accent1 5 2 3 12" xfId="9587"/>
    <cellStyle name="40% - Accent1 5 2 3 12 2" xfId="32362"/>
    <cellStyle name="40% - Accent1 5 2 3 13" xfId="10243"/>
    <cellStyle name="40% - Accent1 5 2 3 13 2" xfId="33018"/>
    <cellStyle name="40% - Accent1 5 2 3 14" xfId="10899"/>
    <cellStyle name="40% - Accent1 5 2 3 14 2" xfId="33674"/>
    <cellStyle name="40% - Accent1 5 2 3 15" xfId="11555"/>
    <cellStyle name="40% - Accent1 5 2 3 15 2" xfId="34330"/>
    <cellStyle name="40% - Accent1 5 2 3 16" xfId="12211"/>
    <cellStyle name="40% - Accent1 5 2 3 16 2" xfId="34986"/>
    <cellStyle name="40% - Accent1 5 2 3 17" xfId="12867"/>
    <cellStyle name="40% - Accent1 5 2 3 17 2" xfId="35642"/>
    <cellStyle name="40% - Accent1 5 2 3 18" xfId="13523"/>
    <cellStyle name="40% - Accent1 5 2 3 18 2" xfId="36298"/>
    <cellStyle name="40% - Accent1 5 2 3 19" xfId="14179"/>
    <cellStyle name="40% - Accent1 5 2 3 19 2" xfId="36954"/>
    <cellStyle name="40% - Accent1 5 2 3 2" xfId="1387"/>
    <cellStyle name="40% - Accent1 5 2 3 2 2" xfId="3683"/>
    <cellStyle name="40% - Accent1 5 2 3 2 2 2" xfId="26458"/>
    <cellStyle name="40% - Accent1 5 2 3 2 3" xfId="24162"/>
    <cellStyle name="40% - Accent1 5 2 3 20" xfId="14835"/>
    <cellStyle name="40% - Accent1 5 2 3 20 2" xfId="37610"/>
    <cellStyle name="40% - Accent1 5 2 3 21" xfId="15491"/>
    <cellStyle name="40% - Accent1 5 2 3 21 2" xfId="38266"/>
    <cellStyle name="40% - Accent1 5 2 3 22" xfId="16147"/>
    <cellStyle name="40% - Accent1 5 2 3 22 2" xfId="38922"/>
    <cellStyle name="40% - Accent1 5 2 3 23" xfId="16803"/>
    <cellStyle name="40% - Accent1 5 2 3 23 2" xfId="39578"/>
    <cellStyle name="40% - Accent1 5 2 3 24" xfId="17459"/>
    <cellStyle name="40% - Accent1 5 2 3 24 2" xfId="40234"/>
    <cellStyle name="40% - Accent1 5 2 3 25" xfId="18115"/>
    <cellStyle name="40% - Accent1 5 2 3 25 2" xfId="40890"/>
    <cellStyle name="40% - Accent1 5 2 3 26" xfId="18771"/>
    <cellStyle name="40% - Accent1 5 2 3 26 2" xfId="41546"/>
    <cellStyle name="40% - Accent1 5 2 3 27" xfId="19427"/>
    <cellStyle name="40% - Accent1 5 2 3 27 2" xfId="42202"/>
    <cellStyle name="40% - Accent1 5 2 3 28" xfId="20083"/>
    <cellStyle name="40% - Accent1 5 2 3 28 2" xfId="42858"/>
    <cellStyle name="40% - Accent1 5 2 3 29" xfId="20739"/>
    <cellStyle name="40% - Accent1 5 2 3 29 2" xfId="43514"/>
    <cellStyle name="40% - Accent1 5 2 3 3" xfId="2043"/>
    <cellStyle name="40% - Accent1 5 2 3 3 2" xfId="4339"/>
    <cellStyle name="40% - Accent1 5 2 3 3 2 2" xfId="27114"/>
    <cellStyle name="40% - Accent1 5 2 3 3 3" xfId="24818"/>
    <cellStyle name="40% - Accent1 5 2 3 30" xfId="21395"/>
    <cellStyle name="40% - Accent1 5 2 3 30 2" xfId="44170"/>
    <cellStyle name="40% - Accent1 5 2 3 31" xfId="22051"/>
    <cellStyle name="40% - Accent1 5 2 3 31 2" xfId="44826"/>
    <cellStyle name="40% - Accent1 5 2 3 32" xfId="22707"/>
    <cellStyle name="40% - Accent1 5 2 3 32 2" xfId="45482"/>
    <cellStyle name="40% - Accent1 5 2 3 33" xfId="23506"/>
    <cellStyle name="40% - Accent1 5 2 3 4" xfId="4995"/>
    <cellStyle name="40% - Accent1 5 2 3 4 2" xfId="27770"/>
    <cellStyle name="40% - Accent1 5 2 3 5" xfId="5651"/>
    <cellStyle name="40% - Accent1 5 2 3 5 2" xfId="28426"/>
    <cellStyle name="40% - Accent1 5 2 3 6" xfId="6307"/>
    <cellStyle name="40% - Accent1 5 2 3 6 2" xfId="29082"/>
    <cellStyle name="40% - Accent1 5 2 3 7" xfId="3027"/>
    <cellStyle name="40% - Accent1 5 2 3 7 2" xfId="25802"/>
    <cellStyle name="40% - Accent1 5 2 3 8" xfId="6963"/>
    <cellStyle name="40% - Accent1 5 2 3 8 2" xfId="29738"/>
    <cellStyle name="40% - Accent1 5 2 3 9" xfId="7619"/>
    <cellStyle name="40% - Accent1 5 2 3 9 2" xfId="30394"/>
    <cellStyle name="40% - Accent1 5 2 30" xfId="19099"/>
    <cellStyle name="40% - Accent1 5 2 30 2" xfId="41874"/>
    <cellStyle name="40% - Accent1 5 2 31" xfId="19755"/>
    <cellStyle name="40% - Accent1 5 2 31 2" xfId="42530"/>
    <cellStyle name="40% - Accent1 5 2 32" xfId="20411"/>
    <cellStyle name="40% - Accent1 5 2 32 2" xfId="43186"/>
    <cellStyle name="40% - Accent1 5 2 33" xfId="21067"/>
    <cellStyle name="40% - Accent1 5 2 33 2" xfId="43842"/>
    <cellStyle name="40% - Accent1 5 2 34" xfId="21723"/>
    <cellStyle name="40% - Accent1 5 2 34 2" xfId="44498"/>
    <cellStyle name="40% - Accent1 5 2 35" xfId="22379"/>
    <cellStyle name="40% - Accent1 5 2 35 2" xfId="45154"/>
    <cellStyle name="40% - Accent1 5 2 36" xfId="23035"/>
    <cellStyle name="40% - Accent1 5 2 4" xfId="404"/>
    <cellStyle name="40% - Accent1 5 2 4 2" xfId="2699"/>
    <cellStyle name="40% - Accent1 5 2 4 2 2" xfId="25474"/>
    <cellStyle name="40% - Accent1 5 2 4 3" xfId="23178"/>
    <cellStyle name="40% - Accent1 5 2 5" xfId="1059"/>
    <cellStyle name="40% - Accent1 5 2 5 2" xfId="3355"/>
    <cellStyle name="40% - Accent1 5 2 5 2 2" xfId="26130"/>
    <cellStyle name="40% - Accent1 5 2 5 3" xfId="23834"/>
    <cellStyle name="40% - Accent1 5 2 6" xfId="1715"/>
    <cellStyle name="40% - Accent1 5 2 6 2" xfId="4011"/>
    <cellStyle name="40% - Accent1 5 2 6 2 2" xfId="26786"/>
    <cellStyle name="40% - Accent1 5 2 6 3" xfId="24490"/>
    <cellStyle name="40% - Accent1 5 2 7" xfId="4667"/>
    <cellStyle name="40% - Accent1 5 2 7 2" xfId="27442"/>
    <cellStyle name="40% - Accent1 5 2 8" xfId="5323"/>
    <cellStyle name="40% - Accent1 5 2 8 2" xfId="28098"/>
    <cellStyle name="40% - Accent1 5 2 9" xfId="5979"/>
    <cellStyle name="40% - Accent1 5 2 9 2" xfId="28754"/>
    <cellStyle name="40% - Accent1 5 20" xfId="11812"/>
    <cellStyle name="40% - Accent1 5 20 2" xfId="34587"/>
    <cellStyle name="40% - Accent1 5 21" xfId="12468"/>
    <cellStyle name="40% - Accent1 5 21 2" xfId="35243"/>
    <cellStyle name="40% - Accent1 5 22" xfId="13124"/>
    <cellStyle name="40% - Accent1 5 22 2" xfId="35899"/>
    <cellStyle name="40% - Accent1 5 23" xfId="13780"/>
    <cellStyle name="40% - Accent1 5 23 2" xfId="36555"/>
    <cellStyle name="40% - Accent1 5 24" xfId="14436"/>
    <cellStyle name="40% - Accent1 5 24 2" xfId="37211"/>
    <cellStyle name="40% - Accent1 5 25" xfId="15092"/>
    <cellStyle name="40% - Accent1 5 25 2" xfId="37867"/>
    <cellStyle name="40% - Accent1 5 26" xfId="15748"/>
    <cellStyle name="40% - Accent1 5 26 2" xfId="38523"/>
    <cellStyle name="40% - Accent1 5 27" xfId="16404"/>
    <cellStyle name="40% - Accent1 5 27 2" xfId="39179"/>
    <cellStyle name="40% - Accent1 5 28" xfId="17060"/>
    <cellStyle name="40% - Accent1 5 28 2" xfId="39835"/>
    <cellStyle name="40% - Accent1 5 29" xfId="17716"/>
    <cellStyle name="40% - Accent1 5 29 2" xfId="40491"/>
    <cellStyle name="40% - Accent1 5 3" xfId="517"/>
    <cellStyle name="40% - Accent1 5 3 10" xfId="6749"/>
    <cellStyle name="40% - Accent1 5 3 10 2" xfId="29524"/>
    <cellStyle name="40% - Accent1 5 3 11" xfId="7405"/>
    <cellStyle name="40% - Accent1 5 3 11 2" xfId="30180"/>
    <cellStyle name="40% - Accent1 5 3 12" xfId="8061"/>
    <cellStyle name="40% - Accent1 5 3 12 2" xfId="30836"/>
    <cellStyle name="40% - Accent1 5 3 13" xfId="8717"/>
    <cellStyle name="40% - Accent1 5 3 13 2" xfId="31492"/>
    <cellStyle name="40% - Accent1 5 3 14" xfId="9373"/>
    <cellStyle name="40% - Accent1 5 3 14 2" xfId="32148"/>
    <cellStyle name="40% - Accent1 5 3 15" xfId="10029"/>
    <cellStyle name="40% - Accent1 5 3 15 2" xfId="32804"/>
    <cellStyle name="40% - Accent1 5 3 16" xfId="10685"/>
    <cellStyle name="40% - Accent1 5 3 16 2" xfId="33460"/>
    <cellStyle name="40% - Accent1 5 3 17" xfId="11341"/>
    <cellStyle name="40% - Accent1 5 3 17 2" xfId="34116"/>
    <cellStyle name="40% - Accent1 5 3 18" xfId="11997"/>
    <cellStyle name="40% - Accent1 5 3 18 2" xfId="34772"/>
    <cellStyle name="40% - Accent1 5 3 19" xfId="12653"/>
    <cellStyle name="40% - Accent1 5 3 19 2" xfId="35428"/>
    <cellStyle name="40% - Accent1 5 3 2" xfId="845"/>
    <cellStyle name="40% - Accent1 5 3 2 10" xfId="8389"/>
    <cellStyle name="40% - Accent1 5 3 2 10 2" xfId="31164"/>
    <cellStyle name="40% - Accent1 5 3 2 11" xfId="9045"/>
    <cellStyle name="40% - Accent1 5 3 2 11 2" xfId="31820"/>
    <cellStyle name="40% - Accent1 5 3 2 12" xfId="9701"/>
    <cellStyle name="40% - Accent1 5 3 2 12 2" xfId="32476"/>
    <cellStyle name="40% - Accent1 5 3 2 13" xfId="10357"/>
    <cellStyle name="40% - Accent1 5 3 2 13 2" xfId="33132"/>
    <cellStyle name="40% - Accent1 5 3 2 14" xfId="11013"/>
    <cellStyle name="40% - Accent1 5 3 2 14 2" xfId="33788"/>
    <cellStyle name="40% - Accent1 5 3 2 15" xfId="11669"/>
    <cellStyle name="40% - Accent1 5 3 2 15 2" xfId="34444"/>
    <cellStyle name="40% - Accent1 5 3 2 16" xfId="12325"/>
    <cellStyle name="40% - Accent1 5 3 2 16 2" xfId="35100"/>
    <cellStyle name="40% - Accent1 5 3 2 17" xfId="12981"/>
    <cellStyle name="40% - Accent1 5 3 2 17 2" xfId="35756"/>
    <cellStyle name="40% - Accent1 5 3 2 18" xfId="13637"/>
    <cellStyle name="40% - Accent1 5 3 2 18 2" xfId="36412"/>
    <cellStyle name="40% - Accent1 5 3 2 19" xfId="14293"/>
    <cellStyle name="40% - Accent1 5 3 2 19 2" xfId="37068"/>
    <cellStyle name="40% - Accent1 5 3 2 2" xfId="1501"/>
    <cellStyle name="40% - Accent1 5 3 2 2 2" xfId="3797"/>
    <cellStyle name="40% - Accent1 5 3 2 2 2 2" xfId="26572"/>
    <cellStyle name="40% - Accent1 5 3 2 2 3" xfId="24276"/>
    <cellStyle name="40% - Accent1 5 3 2 20" xfId="14949"/>
    <cellStyle name="40% - Accent1 5 3 2 20 2" xfId="37724"/>
    <cellStyle name="40% - Accent1 5 3 2 21" xfId="15605"/>
    <cellStyle name="40% - Accent1 5 3 2 21 2" xfId="38380"/>
    <cellStyle name="40% - Accent1 5 3 2 22" xfId="16261"/>
    <cellStyle name="40% - Accent1 5 3 2 22 2" xfId="39036"/>
    <cellStyle name="40% - Accent1 5 3 2 23" xfId="16917"/>
    <cellStyle name="40% - Accent1 5 3 2 23 2" xfId="39692"/>
    <cellStyle name="40% - Accent1 5 3 2 24" xfId="17573"/>
    <cellStyle name="40% - Accent1 5 3 2 24 2" xfId="40348"/>
    <cellStyle name="40% - Accent1 5 3 2 25" xfId="18229"/>
    <cellStyle name="40% - Accent1 5 3 2 25 2" xfId="41004"/>
    <cellStyle name="40% - Accent1 5 3 2 26" xfId="18885"/>
    <cellStyle name="40% - Accent1 5 3 2 26 2" xfId="41660"/>
    <cellStyle name="40% - Accent1 5 3 2 27" xfId="19541"/>
    <cellStyle name="40% - Accent1 5 3 2 27 2" xfId="42316"/>
    <cellStyle name="40% - Accent1 5 3 2 28" xfId="20197"/>
    <cellStyle name="40% - Accent1 5 3 2 28 2" xfId="42972"/>
    <cellStyle name="40% - Accent1 5 3 2 29" xfId="20853"/>
    <cellStyle name="40% - Accent1 5 3 2 29 2" xfId="43628"/>
    <cellStyle name="40% - Accent1 5 3 2 3" xfId="2157"/>
    <cellStyle name="40% - Accent1 5 3 2 3 2" xfId="4453"/>
    <cellStyle name="40% - Accent1 5 3 2 3 2 2" xfId="27228"/>
    <cellStyle name="40% - Accent1 5 3 2 3 3" xfId="24932"/>
    <cellStyle name="40% - Accent1 5 3 2 30" xfId="21509"/>
    <cellStyle name="40% - Accent1 5 3 2 30 2" xfId="44284"/>
    <cellStyle name="40% - Accent1 5 3 2 31" xfId="22165"/>
    <cellStyle name="40% - Accent1 5 3 2 31 2" xfId="44940"/>
    <cellStyle name="40% - Accent1 5 3 2 32" xfId="22821"/>
    <cellStyle name="40% - Accent1 5 3 2 32 2" xfId="45596"/>
    <cellStyle name="40% - Accent1 5 3 2 33" xfId="23620"/>
    <cellStyle name="40% - Accent1 5 3 2 4" xfId="5109"/>
    <cellStyle name="40% - Accent1 5 3 2 4 2" xfId="27884"/>
    <cellStyle name="40% - Accent1 5 3 2 5" xfId="5765"/>
    <cellStyle name="40% - Accent1 5 3 2 5 2" xfId="28540"/>
    <cellStyle name="40% - Accent1 5 3 2 6" xfId="6421"/>
    <cellStyle name="40% - Accent1 5 3 2 6 2" xfId="29196"/>
    <cellStyle name="40% - Accent1 5 3 2 7" xfId="3141"/>
    <cellStyle name="40% - Accent1 5 3 2 7 2" xfId="25916"/>
    <cellStyle name="40% - Accent1 5 3 2 8" xfId="7077"/>
    <cellStyle name="40% - Accent1 5 3 2 8 2" xfId="29852"/>
    <cellStyle name="40% - Accent1 5 3 2 9" xfId="7733"/>
    <cellStyle name="40% - Accent1 5 3 2 9 2" xfId="30508"/>
    <cellStyle name="40% - Accent1 5 3 20" xfId="13309"/>
    <cellStyle name="40% - Accent1 5 3 20 2" xfId="36084"/>
    <cellStyle name="40% - Accent1 5 3 21" xfId="13965"/>
    <cellStyle name="40% - Accent1 5 3 21 2" xfId="36740"/>
    <cellStyle name="40% - Accent1 5 3 22" xfId="14621"/>
    <cellStyle name="40% - Accent1 5 3 22 2" xfId="37396"/>
    <cellStyle name="40% - Accent1 5 3 23" xfId="15277"/>
    <cellStyle name="40% - Accent1 5 3 23 2" xfId="38052"/>
    <cellStyle name="40% - Accent1 5 3 24" xfId="15933"/>
    <cellStyle name="40% - Accent1 5 3 24 2" xfId="38708"/>
    <cellStyle name="40% - Accent1 5 3 25" xfId="16589"/>
    <cellStyle name="40% - Accent1 5 3 25 2" xfId="39364"/>
    <cellStyle name="40% - Accent1 5 3 26" xfId="17245"/>
    <cellStyle name="40% - Accent1 5 3 26 2" xfId="40020"/>
    <cellStyle name="40% - Accent1 5 3 27" xfId="17901"/>
    <cellStyle name="40% - Accent1 5 3 27 2" xfId="40676"/>
    <cellStyle name="40% - Accent1 5 3 28" xfId="18557"/>
    <cellStyle name="40% - Accent1 5 3 28 2" xfId="41332"/>
    <cellStyle name="40% - Accent1 5 3 29" xfId="19213"/>
    <cellStyle name="40% - Accent1 5 3 29 2" xfId="41988"/>
    <cellStyle name="40% - Accent1 5 3 3" xfId="1173"/>
    <cellStyle name="40% - Accent1 5 3 3 2" xfId="2813"/>
    <cellStyle name="40% - Accent1 5 3 3 2 2" xfId="25588"/>
    <cellStyle name="40% - Accent1 5 3 3 3" xfId="23948"/>
    <cellStyle name="40% - Accent1 5 3 30" xfId="19869"/>
    <cellStyle name="40% - Accent1 5 3 30 2" xfId="42644"/>
    <cellStyle name="40% - Accent1 5 3 31" xfId="20525"/>
    <cellStyle name="40% - Accent1 5 3 31 2" xfId="43300"/>
    <cellStyle name="40% - Accent1 5 3 32" xfId="21181"/>
    <cellStyle name="40% - Accent1 5 3 32 2" xfId="43956"/>
    <cellStyle name="40% - Accent1 5 3 33" xfId="21837"/>
    <cellStyle name="40% - Accent1 5 3 33 2" xfId="44612"/>
    <cellStyle name="40% - Accent1 5 3 34" xfId="22493"/>
    <cellStyle name="40% - Accent1 5 3 34 2" xfId="45268"/>
    <cellStyle name="40% - Accent1 5 3 35" xfId="23292"/>
    <cellStyle name="40% - Accent1 5 3 4" xfId="1829"/>
    <cellStyle name="40% - Accent1 5 3 4 2" xfId="3469"/>
    <cellStyle name="40% - Accent1 5 3 4 2 2" xfId="26244"/>
    <cellStyle name="40% - Accent1 5 3 4 3" xfId="24604"/>
    <cellStyle name="40% - Accent1 5 3 5" xfId="4125"/>
    <cellStyle name="40% - Accent1 5 3 5 2" xfId="26900"/>
    <cellStyle name="40% - Accent1 5 3 6" xfId="4781"/>
    <cellStyle name="40% - Accent1 5 3 6 2" xfId="27556"/>
    <cellStyle name="40% - Accent1 5 3 7" xfId="5437"/>
    <cellStyle name="40% - Accent1 5 3 7 2" xfId="28212"/>
    <cellStyle name="40% - Accent1 5 3 8" xfId="6093"/>
    <cellStyle name="40% - Accent1 5 3 8 2" xfId="28868"/>
    <cellStyle name="40% - Accent1 5 3 9" xfId="2485"/>
    <cellStyle name="40% - Accent1 5 3 9 2" xfId="25260"/>
    <cellStyle name="40% - Accent1 5 30" xfId="18372"/>
    <cellStyle name="40% - Accent1 5 30 2" xfId="41147"/>
    <cellStyle name="40% - Accent1 5 31" xfId="19028"/>
    <cellStyle name="40% - Accent1 5 31 2" xfId="41803"/>
    <cellStyle name="40% - Accent1 5 32" xfId="19684"/>
    <cellStyle name="40% - Accent1 5 32 2" xfId="42459"/>
    <cellStyle name="40% - Accent1 5 33" xfId="20340"/>
    <cellStyle name="40% - Accent1 5 33 2" xfId="43115"/>
    <cellStyle name="40% - Accent1 5 34" xfId="20996"/>
    <cellStyle name="40% - Accent1 5 34 2" xfId="43771"/>
    <cellStyle name="40% - Accent1 5 35" xfId="21652"/>
    <cellStyle name="40% - Accent1 5 35 2" xfId="44427"/>
    <cellStyle name="40% - Accent1 5 36" xfId="22308"/>
    <cellStyle name="40% - Accent1 5 36 2" xfId="45083"/>
    <cellStyle name="40% - Accent1 5 37" xfId="247"/>
    <cellStyle name="40% - Accent1 5 38" xfId="22964"/>
    <cellStyle name="40% - Accent1 5 4" xfId="660"/>
    <cellStyle name="40% - Accent1 5 4 10" xfId="8204"/>
    <cellStyle name="40% - Accent1 5 4 10 2" xfId="30979"/>
    <cellStyle name="40% - Accent1 5 4 11" xfId="8860"/>
    <cellStyle name="40% - Accent1 5 4 11 2" xfId="31635"/>
    <cellStyle name="40% - Accent1 5 4 12" xfId="9516"/>
    <cellStyle name="40% - Accent1 5 4 12 2" xfId="32291"/>
    <cellStyle name="40% - Accent1 5 4 13" xfId="10172"/>
    <cellStyle name="40% - Accent1 5 4 13 2" xfId="32947"/>
    <cellStyle name="40% - Accent1 5 4 14" xfId="10828"/>
    <cellStyle name="40% - Accent1 5 4 14 2" xfId="33603"/>
    <cellStyle name="40% - Accent1 5 4 15" xfId="11484"/>
    <cellStyle name="40% - Accent1 5 4 15 2" xfId="34259"/>
    <cellStyle name="40% - Accent1 5 4 16" xfId="12140"/>
    <cellStyle name="40% - Accent1 5 4 16 2" xfId="34915"/>
    <cellStyle name="40% - Accent1 5 4 17" xfId="12796"/>
    <cellStyle name="40% - Accent1 5 4 17 2" xfId="35571"/>
    <cellStyle name="40% - Accent1 5 4 18" xfId="13452"/>
    <cellStyle name="40% - Accent1 5 4 18 2" xfId="36227"/>
    <cellStyle name="40% - Accent1 5 4 19" xfId="14108"/>
    <cellStyle name="40% - Accent1 5 4 19 2" xfId="36883"/>
    <cellStyle name="40% - Accent1 5 4 2" xfId="1316"/>
    <cellStyle name="40% - Accent1 5 4 2 2" xfId="3612"/>
    <cellStyle name="40% - Accent1 5 4 2 2 2" xfId="26387"/>
    <cellStyle name="40% - Accent1 5 4 2 3" xfId="24091"/>
    <cellStyle name="40% - Accent1 5 4 20" xfId="14764"/>
    <cellStyle name="40% - Accent1 5 4 20 2" xfId="37539"/>
    <cellStyle name="40% - Accent1 5 4 21" xfId="15420"/>
    <cellStyle name="40% - Accent1 5 4 21 2" xfId="38195"/>
    <cellStyle name="40% - Accent1 5 4 22" xfId="16076"/>
    <cellStyle name="40% - Accent1 5 4 22 2" xfId="38851"/>
    <cellStyle name="40% - Accent1 5 4 23" xfId="16732"/>
    <cellStyle name="40% - Accent1 5 4 23 2" xfId="39507"/>
    <cellStyle name="40% - Accent1 5 4 24" xfId="17388"/>
    <cellStyle name="40% - Accent1 5 4 24 2" xfId="40163"/>
    <cellStyle name="40% - Accent1 5 4 25" xfId="18044"/>
    <cellStyle name="40% - Accent1 5 4 25 2" xfId="40819"/>
    <cellStyle name="40% - Accent1 5 4 26" xfId="18700"/>
    <cellStyle name="40% - Accent1 5 4 26 2" xfId="41475"/>
    <cellStyle name="40% - Accent1 5 4 27" xfId="19356"/>
    <cellStyle name="40% - Accent1 5 4 27 2" xfId="42131"/>
    <cellStyle name="40% - Accent1 5 4 28" xfId="20012"/>
    <cellStyle name="40% - Accent1 5 4 28 2" xfId="42787"/>
    <cellStyle name="40% - Accent1 5 4 29" xfId="20668"/>
    <cellStyle name="40% - Accent1 5 4 29 2" xfId="43443"/>
    <cellStyle name="40% - Accent1 5 4 3" xfId="1972"/>
    <cellStyle name="40% - Accent1 5 4 3 2" xfId="4268"/>
    <cellStyle name="40% - Accent1 5 4 3 2 2" xfId="27043"/>
    <cellStyle name="40% - Accent1 5 4 3 3" xfId="24747"/>
    <cellStyle name="40% - Accent1 5 4 30" xfId="21324"/>
    <cellStyle name="40% - Accent1 5 4 30 2" xfId="44099"/>
    <cellStyle name="40% - Accent1 5 4 31" xfId="21980"/>
    <cellStyle name="40% - Accent1 5 4 31 2" xfId="44755"/>
    <cellStyle name="40% - Accent1 5 4 32" xfId="22636"/>
    <cellStyle name="40% - Accent1 5 4 32 2" xfId="45411"/>
    <cellStyle name="40% - Accent1 5 4 33" xfId="23435"/>
    <cellStyle name="40% - Accent1 5 4 4" xfId="4924"/>
    <cellStyle name="40% - Accent1 5 4 4 2" xfId="27699"/>
    <cellStyle name="40% - Accent1 5 4 5" xfId="5580"/>
    <cellStyle name="40% - Accent1 5 4 5 2" xfId="28355"/>
    <cellStyle name="40% - Accent1 5 4 6" xfId="6236"/>
    <cellStyle name="40% - Accent1 5 4 6 2" xfId="29011"/>
    <cellStyle name="40% - Accent1 5 4 7" xfId="2956"/>
    <cellStyle name="40% - Accent1 5 4 7 2" xfId="25731"/>
    <cellStyle name="40% - Accent1 5 4 8" xfId="6892"/>
    <cellStyle name="40% - Accent1 5 4 8 2" xfId="29667"/>
    <cellStyle name="40% - Accent1 5 4 9" xfId="7548"/>
    <cellStyle name="40% - Accent1 5 4 9 2" xfId="30323"/>
    <cellStyle name="40% - Accent1 5 5" xfId="333"/>
    <cellStyle name="40% - Accent1 5 5 2" xfId="2628"/>
    <cellStyle name="40% - Accent1 5 5 2 2" xfId="25403"/>
    <cellStyle name="40% - Accent1 5 5 3" xfId="23107"/>
    <cellStyle name="40% - Accent1 5 6" xfId="988"/>
    <cellStyle name="40% - Accent1 5 6 2" xfId="3284"/>
    <cellStyle name="40% - Accent1 5 6 2 2" xfId="26059"/>
    <cellStyle name="40% - Accent1 5 6 3" xfId="23763"/>
    <cellStyle name="40% - Accent1 5 7" xfId="1644"/>
    <cellStyle name="40% - Accent1 5 7 2" xfId="3940"/>
    <cellStyle name="40% - Accent1 5 7 2 2" xfId="26715"/>
    <cellStyle name="40% - Accent1 5 7 3" xfId="24419"/>
    <cellStyle name="40% - Accent1 5 8" xfId="4596"/>
    <cellStyle name="40% - Accent1 5 8 2" xfId="27371"/>
    <cellStyle name="40% - Accent1 5 9" xfId="5252"/>
    <cellStyle name="40% - Accent1 5 9 2" xfId="28027"/>
    <cellStyle name="40% - Accent1 6" xfId="115"/>
    <cellStyle name="40% - Accent1 6 10" xfId="2313"/>
    <cellStyle name="40% - Accent1 6 10 2" xfId="25088"/>
    <cellStyle name="40% - Accent1 6 11" xfId="6577"/>
    <cellStyle name="40% - Accent1 6 11 2" xfId="29352"/>
    <cellStyle name="40% - Accent1 6 12" xfId="7233"/>
    <cellStyle name="40% - Accent1 6 12 2" xfId="30008"/>
    <cellStyle name="40% - Accent1 6 13" xfId="7889"/>
    <cellStyle name="40% - Accent1 6 13 2" xfId="30664"/>
    <cellStyle name="40% - Accent1 6 14" xfId="8545"/>
    <cellStyle name="40% - Accent1 6 14 2" xfId="31320"/>
    <cellStyle name="40% - Accent1 6 15" xfId="9201"/>
    <cellStyle name="40% - Accent1 6 15 2" xfId="31976"/>
    <cellStyle name="40% - Accent1 6 16" xfId="9857"/>
    <cellStyle name="40% - Accent1 6 16 2" xfId="32632"/>
    <cellStyle name="40% - Accent1 6 17" xfId="10513"/>
    <cellStyle name="40% - Accent1 6 17 2" xfId="33288"/>
    <cellStyle name="40% - Accent1 6 18" xfId="11169"/>
    <cellStyle name="40% - Accent1 6 18 2" xfId="33944"/>
    <cellStyle name="40% - Accent1 6 19" xfId="11825"/>
    <cellStyle name="40% - Accent1 6 19 2" xfId="34600"/>
    <cellStyle name="40% - Accent1 6 2" xfId="529"/>
    <cellStyle name="40% - Accent1 6 2 10" xfId="6762"/>
    <cellStyle name="40% - Accent1 6 2 10 2" xfId="29537"/>
    <cellStyle name="40% - Accent1 6 2 11" xfId="7418"/>
    <cellStyle name="40% - Accent1 6 2 11 2" xfId="30193"/>
    <cellStyle name="40% - Accent1 6 2 12" xfId="8074"/>
    <cellStyle name="40% - Accent1 6 2 12 2" xfId="30849"/>
    <cellStyle name="40% - Accent1 6 2 13" xfId="8730"/>
    <cellStyle name="40% - Accent1 6 2 13 2" xfId="31505"/>
    <cellStyle name="40% - Accent1 6 2 14" xfId="9386"/>
    <cellStyle name="40% - Accent1 6 2 14 2" xfId="32161"/>
    <cellStyle name="40% - Accent1 6 2 15" xfId="10042"/>
    <cellStyle name="40% - Accent1 6 2 15 2" xfId="32817"/>
    <cellStyle name="40% - Accent1 6 2 16" xfId="10698"/>
    <cellStyle name="40% - Accent1 6 2 16 2" xfId="33473"/>
    <cellStyle name="40% - Accent1 6 2 17" xfId="11354"/>
    <cellStyle name="40% - Accent1 6 2 17 2" xfId="34129"/>
    <cellStyle name="40% - Accent1 6 2 18" xfId="12010"/>
    <cellStyle name="40% - Accent1 6 2 18 2" xfId="34785"/>
    <cellStyle name="40% - Accent1 6 2 19" xfId="12666"/>
    <cellStyle name="40% - Accent1 6 2 19 2" xfId="35441"/>
    <cellStyle name="40% - Accent1 6 2 2" xfId="858"/>
    <cellStyle name="40% - Accent1 6 2 2 10" xfId="8402"/>
    <cellStyle name="40% - Accent1 6 2 2 10 2" xfId="31177"/>
    <cellStyle name="40% - Accent1 6 2 2 11" xfId="9058"/>
    <cellStyle name="40% - Accent1 6 2 2 11 2" xfId="31833"/>
    <cellStyle name="40% - Accent1 6 2 2 12" xfId="9714"/>
    <cellStyle name="40% - Accent1 6 2 2 12 2" xfId="32489"/>
    <cellStyle name="40% - Accent1 6 2 2 13" xfId="10370"/>
    <cellStyle name="40% - Accent1 6 2 2 13 2" xfId="33145"/>
    <cellStyle name="40% - Accent1 6 2 2 14" xfId="11026"/>
    <cellStyle name="40% - Accent1 6 2 2 14 2" xfId="33801"/>
    <cellStyle name="40% - Accent1 6 2 2 15" xfId="11682"/>
    <cellStyle name="40% - Accent1 6 2 2 15 2" xfId="34457"/>
    <cellStyle name="40% - Accent1 6 2 2 16" xfId="12338"/>
    <cellStyle name="40% - Accent1 6 2 2 16 2" xfId="35113"/>
    <cellStyle name="40% - Accent1 6 2 2 17" xfId="12994"/>
    <cellStyle name="40% - Accent1 6 2 2 17 2" xfId="35769"/>
    <cellStyle name="40% - Accent1 6 2 2 18" xfId="13650"/>
    <cellStyle name="40% - Accent1 6 2 2 18 2" xfId="36425"/>
    <cellStyle name="40% - Accent1 6 2 2 19" xfId="14306"/>
    <cellStyle name="40% - Accent1 6 2 2 19 2" xfId="37081"/>
    <cellStyle name="40% - Accent1 6 2 2 2" xfId="1514"/>
    <cellStyle name="40% - Accent1 6 2 2 2 2" xfId="3810"/>
    <cellStyle name="40% - Accent1 6 2 2 2 2 2" xfId="26585"/>
    <cellStyle name="40% - Accent1 6 2 2 2 3" xfId="24289"/>
    <cellStyle name="40% - Accent1 6 2 2 20" xfId="14962"/>
    <cellStyle name="40% - Accent1 6 2 2 20 2" xfId="37737"/>
    <cellStyle name="40% - Accent1 6 2 2 21" xfId="15618"/>
    <cellStyle name="40% - Accent1 6 2 2 21 2" xfId="38393"/>
    <cellStyle name="40% - Accent1 6 2 2 22" xfId="16274"/>
    <cellStyle name="40% - Accent1 6 2 2 22 2" xfId="39049"/>
    <cellStyle name="40% - Accent1 6 2 2 23" xfId="16930"/>
    <cellStyle name="40% - Accent1 6 2 2 23 2" xfId="39705"/>
    <cellStyle name="40% - Accent1 6 2 2 24" xfId="17586"/>
    <cellStyle name="40% - Accent1 6 2 2 24 2" xfId="40361"/>
    <cellStyle name="40% - Accent1 6 2 2 25" xfId="18242"/>
    <cellStyle name="40% - Accent1 6 2 2 25 2" xfId="41017"/>
    <cellStyle name="40% - Accent1 6 2 2 26" xfId="18898"/>
    <cellStyle name="40% - Accent1 6 2 2 26 2" xfId="41673"/>
    <cellStyle name="40% - Accent1 6 2 2 27" xfId="19554"/>
    <cellStyle name="40% - Accent1 6 2 2 27 2" xfId="42329"/>
    <cellStyle name="40% - Accent1 6 2 2 28" xfId="20210"/>
    <cellStyle name="40% - Accent1 6 2 2 28 2" xfId="42985"/>
    <cellStyle name="40% - Accent1 6 2 2 29" xfId="20866"/>
    <cellStyle name="40% - Accent1 6 2 2 29 2" xfId="43641"/>
    <cellStyle name="40% - Accent1 6 2 2 3" xfId="2170"/>
    <cellStyle name="40% - Accent1 6 2 2 3 2" xfId="4466"/>
    <cellStyle name="40% - Accent1 6 2 2 3 2 2" xfId="27241"/>
    <cellStyle name="40% - Accent1 6 2 2 3 3" xfId="24945"/>
    <cellStyle name="40% - Accent1 6 2 2 30" xfId="21522"/>
    <cellStyle name="40% - Accent1 6 2 2 30 2" xfId="44297"/>
    <cellStyle name="40% - Accent1 6 2 2 31" xfId="22178"/>
    <cellStyle name="40% - Accent1 6 2 2 31 2" xfId="44953"/>
    <cellStyle name="40% - Accent1 6 2 2 32" xfId="22834"/>
    <cellStyle name="40% - Accent1 6 2 2 32 2" xfId="45609"/>
    <cellStyle name="40% - Accent1 6 2 2 33" xfId="23633"/>
    <cellStyle name="40% - Accent1 6 2 2 4" xfId="5122"/>
    <cellStyle name="40% - Accent1 6 2 2 4 2" xfId="27897"/>
    <cellStyle name="40% - Accent1 6 2 2 5" xfId="5778"/>
    <cellStyle name="40% - Accent1 6 2 2 5 2" xfId="28553"/>
    <cellStyle name="40% - Accent1 6 2 2 6" xfId="6434"/>
    <cellStyle name="40% - Accent1 6 2 2 6 2" xfId="29209"/>
    <cellStyle name="40% - Accent1 6 2 2 7" xfId="3154"/>
    <cellStyle name="40% - Accent1 6 2 2 7 2" xfId="25929"/>
    <cellStyle name="40% - Accent1 6 2 2 8" xfId="7090"/>
    <cellStyle name="40% - Accent1 6 2 2 8 2" xfId="29865"/>
    <cellStyle name="40% - Accent1 6 2 2 9" xfId="7746"/>
    <cellStyle name="40% - Accent1 6 2 2 9 2" xfId="30521"/>
    <cellStyle name="40% - Accent1 6 2 20" xfId="13322"/>
    <cellStyle name="40% - Accent1 6 2 20 2" xfId="36097"/>
    <cellStyle name="40% - Accent1 6 2 21" xfId="13978"/>
    <cellStyle name="40% - Accent1 6 2 21 2" xfId="36753"/>
    <cellStyle name="40% - Accent1 6 2 22" xfId="14634"/>
    <cellStyle name="40% - Accent1 6 2 22 2" xfId="37409"/>
    <cellStyle name="40% - Accent1 6 2 23" xfId="15290"/>
    <cellStyle name="40% - Accent1 6 2 23 2" xfId="38065"/>
    <cellStyle name="40% - Accent1 6 2 24" xfId="15946"/>
    <cellStyle name="40% - Accent1 6 2 24 2" xfId="38721"/>
    <cellStyle name="40% - Accent1 6 2 25" xfId="16602"/>
    <cellStyle name="40% - Accent1 6 2 25 2" xfId="39377"/>
    <cellStyle name="40% - Accent1 6 2 26" xfId="17258"/>
    <cellStyle name="40% - Accent1 6 2 26 2" xfId="40033"/>
    <cellStyle name="40% - Accent1 6 2 27" xfId="17914"/>
    <cellStyle name="40% - Accent1 6 2 27 2" xfId="40689"/>
    <cellStyle name="40% - Accent1 6 2 28" xfId="18570"/>
    <cellStyle name="40% - Accent1 6 2 28 2" xfId="41345"/>
    <cellStyle name="40% - Accent1 6 2 29" xfId="19226"/>
    <cellStyle name="40% - Accent1 6 2 29 2" xfId="42001"/>
    <cellStyle name="40% - Accent1 6 2 3" xfId="1186"/>
    <cellStyle name="40% - Accent1 6 2 3 2" xfId="2826"/>
    <cellStyle name="40% - Accent1 6 2 3 2 2" xfId="25601"/>
    <cellStyle name="40% - Accent1 6 2 3 3" xfId="23961"/>
    <cellStyle name="40% - Accent1 6 2 30" xfId="19882"/>
    <cellStyle name="40% - Accent1 6 2 30 2" xfId="42657"/>
    <cellStyle name="40% - Accent1 6 2 31" xfId="20538"/>
    <cellStyle name="40% - Accent1 6 2 31 2" xfId="43313"/>
    <cellStyle name="40% - Accent1 6 2 32" xfId="21194"/>
    <cellStyle name="40% - Accent1 6 2 32 2" xfId="43969"/>
    <cellStyle name="40% - Accent1 6 2 33" xfId="21850"/>
    <cellStyle name="40% - Accent1 6 2 33 2" xfId="44625"/>
    <cellStyle name="40% - Accent1 6 2 34" xfId="22506"/>
    <cellStyle name="40% - Accent1 6 2 34 2" xfId="45281"/>
    <cellStyle name="40% - Accent1 6 2 35" xfId="23305"/>
    <cellStyle name="40% - Accent1 6 2 4" xfId="1842"/>
    <cellStyle name="40% - Accent1 6 2 4 2" xfId="3482"/>
    <cellStyle name="40% - Accent1 6 2 4 2 2" xfId="26257"/>
    <cellStyle name="40% - Accent1 6 2 4 3" xfId="24617"/>
    <cellStyle name="40% - Accent1 6 2 5" xfId="4138"/>
    <cellStyle name="40% - Accent1 6 2 5 2" xfId="26913"/>
    <cellStyle name="40% - Accent1 6 2 6" xfId="4794"/>
    <cellStyle name="40% - Accent1 6 2 6 2" xfId="27569"/>
    <cellStyle name="40% - Accent1 6 2 7" xfId="5450"/>
    <cellStyle name="40% - Accent1 6 2 7 2" xfId="28225"/>
    <cellStyle name="40% - Accent1 6 2 8" xfId="6106"/>
    <cellStyle name="40% - Accent1 6 2 8 2" xfId="28881"/>
    <cellStyle name="40% - Accent1 6 2 9" xfId="2498"/>
    <cellStyle name="40% - Accent1 6 2 9 2" xfId="25273"/>
    <cellStyle name="40% - Accent1 6 20" xfId="12481"/>
    <cellStyle name="40% - Accent1 6 20 2" xfId="35256"/>
    <cellStyle name="40% - Accent1 6 21" xfId="13137"/>
    <cellStyle name="40% - Accent1 6 21 2" xfId="35912"/>
    <cellStyle name="40% - Accent1 6 22" xfId="13793"/>
    <cellStyle name="40% - Accent1 6 22 2" xfId="36568"/>
    <cellStyle name="40% - Accent1 6 23" xfId="14449"/>
    <cellStyle name="40% - Accent1 6 23 2" xfId="37224"/>
    <cellStyle name="40% - Accent1 6 24" xfId="15105"/>
    <cellStyle name="40% - Accent1 6 24 2" xfId="37880"/>
    <cellStyle name="40% - Accent1 6 25" xfId="15761"/>
    <cellStyle name="40% - Accent1 6 25 2" xfId="38536"/>
    <cellStyle name="40% - Accent1 6 26" xfId="16417"/>
    <cellStyle name="40% - Accent1 6 26 2" xfId="39192"/>
    <cellStyle name="40% - Accent1 6 27" xfId="17073"/>
    <cellStyle name="40% - Accent1 6 27 2" xfId="39848"/>
    <cellStyle name="40% - Accent1 6 28" xfId="17729"/>
    <cellStyle name="40% - Accent1 6 28 2" xfId="40504"/>
    <cellStyle name="40% - Accent1 6 29" xfId="18385"/>
    <cellStyle name="40% - Accent1 6 29 2" xfId="41160"/>
    <cellStyle name="40% - Accent1 6 3" xfId="673"/>
    <cellStyle name="40% - Accent1 6 3 10" xfId="8217"/>
    <cellStyle name="40% - Accent1 6 3 10 2" xfId="30992"/>
    <cellStyle name="40% - Accent1 6 3 11" xfId="8873"/>
    <cellStyle name="40% - Accent1 6 3 11 2" xfId="31648"/>
    <cellStyle name="40% - Accent1 6 3 12" xfId="9529"/>
    <cellStyle name="40% - Accent1 6 3 12 2" xfId="32304"/>
    <cellStyle name="40% - Accent1 6 3 13" xfId="10185"/>
    <cellStyle name="40% - Accent1 6 3 13 2" xfId="32960"/>
    <cellStyle name="40% - Accent1 6 3 14" xfId="10841"/>
    <cellStyle name="40% - Accent1 6 3 14 2" xfId="33616"/>
    <cellStyle name="40% - Accent1 6 3 15" xfId="11497"/>
    <cellStyle name="40% - Accent1 6 3 15 2" xfId="34272"/>
    <cellStyle name="40% - Accent1 6 3 16" xfId="12153"/>
    <cellStyle name="40% - Accent1 6 3 16 2" xfId="34928"/>
    <cellStyle name="40% - Accent1 6 3 17" xfId="12809"/>
    <cellStyle name="40% - Accent1 6 3 17 2" xfId="35584"/>
    <cellStyle name="40% - Accent1 6 3 18" xfId="13465"/>
    <cellStyle name="40% - Accent1 6 3 18 2" xfId="36240"/>
    <cellStyle name="40% - Accent1 6 3 19" xfId="14121"/>
    <cellStyle name="40% - Accent1 6 3 19 2" xfId="36896"/>
    <cellStyle name="40% - Accent1 6 3 2" xfId="1329"/>
    <cellStyle name="40% - Accent1 6 3 2 2" xfId="3625"/>
    <cellStyle name="40% - Accent1 6 3 2 2 2" xfId="26400"/>
    <cellStyle name="40% - Accent1 6 3 2 3" xfId="24104"/>
    <cellStyle name="40% - Accent1 6 3 20" xfId="14777"/>
    <cellStyle name="40% - Accent1 6 3 20 2" xfId="37552"/>
    <cellStyle name="40% - Accent1 6 3 21" xfId="15433"/>
    <cellStyle name="40% - Accent1 6 3 21 2" xfId="38208"/>
    <cellStyle name="40% - Accent1 6 3 22" xfId="16089"/>
    <cellStyle name="40% - Accent1 6 3 22 2" xfId="38864"/>
    <cellStyle name="40% - Accent1 6 3 23" xfId="16745"/>
    <cellStyle name="40% - Accent1 6 3 23 2" xfId="39520"/>
    <cellStyle name="40% - Accent1 6 3 24" xfId="17401"/>
    <cellStyle name="40% - Accent1 6 3 24 2" xfId="40176"/>
    <cellStyle name="40% - Accent1 6 3 25" xfId="18057"/>
    <cellStyle name="40% - Accent1 6 3 25 2" xfId="40832"/>
    <cellStyle name="40% - Accent1 6 3 26" xfId="18713"/>
    <cellStyle name="40% - Accent1 6 3 26 2" xfId="41488"/>
    <cellStyle name="40% - Accent1 6 3 27" xfId="19369"/>
    <cellStyle name="40% - Accent1 6 3 27 2" xfId="42144"/>
    <cellStyle name="40% - Accent1 6 3 28" xfId="20025"/>
    <cellStyle name="40% - Accent1 6 3 28 2" xfId="42800"/>
    <cellStyle name="40% - Accent1 6 3 29" xfId="20681"/>
    <cellStyle name="40% - Accent1 6 3 29 2" xfId="43456"/>
    <cellStyle name="40% - Accent1 6 3 3" xfId="1985"/>
    <cellStyle name="40% - Accent1 6 3 3 2" xfId="4281"/>
    <cellStyle name="40% - Accent1 6 3 3 2 2" xfId="27056"/>
    <cellStyle name="40% - Accent1 6 3 3 3" xfId="24760"/>
    <cellStyle name="40% - Accent1 6 3 30" xfId="21337"/>
    <cellStyle name="40% - Accent1 6 3 30 2" xfId="44112"/>
    <cellStyle name="40% - Accent1 6 3 31" xfId="21993"/>
    <cellStyle name="40% - Accent1 6 3 31 2" xfId="44768"/>
    <cellStyle name="40% - Accent1 6 3 32" xfId="22649"/>
    <cellStyle name="40% - Accent1 6 3 32 2" xfId="45424"/>
    <cellStyle name="40% - Accent1 6 3 33" xfId="23448"/>
    <cellStyle name="40% - Accent1 6 3 4" xfId="4937"/>
    <cellStyle name="40% - Accent1 6 3 4 2" xfId="27712"/>
    <cellStyle name="40% - Accent1 6 3 5" xfId="5593"/>
    <cellStyle name="40% - Accent1 6 3 5 2" xfId="28368"/>
    <cellStyle name="40% - Accent1 6 3 6" xfId="6249"/>
    <cellStyle name="40% - Accent1 6 3 6 2" xfId="29024"/>
    <cellStyle name="40% - Accent1 6 3 7" xfId="2969"/>
    <cellStyle name="40% - Accent1 6 3 7 2" xfId="25744"/>
    <cellStyle name="40% - Accent1 6 3 8" xfId="6905"/>
    <cellStyle name="40% - Accent1 6 3 8 2" xfId="29680"/>
    <cellStyle name="40% - Accent1 6 3 9" xfId="7561"/>
    <cellStyle name="40% - Accent1 6 3 9 2" xfId="30336"/>
    <cellStyle name="40% - Accent1 6 30" xfId="19041"/>
    <cellStyle name="40% - Accent1 6 30 2" xfId="41816"/>
    <cellStyle name="40% - Accent1 6 31" xfId="19697"/>
    <cellStyle name="40% - Accent1 6 31 2" xfId="42472"/>
    <cellStyle name="40% - Accent1 6 32" xfId="20353"/>
    <cellStyle name="40% - Accent1 6 32 2" xfId="43128"/>
    <cellStyle name="40% - Accent1 6 33" xfId="21009"/>
    <cellStyle name="40% - Accent1 6 33 2" xfId="43784"/>
    <cellStyle name="40% - Accent1 6 34" xfId="21665"/>
    <cellStyle name="40% - Accent1 6 34 2" xfId="44440"/>
    <cellStyle name="40% - Accent1 6 35" xfId="22321"/>
    <cellStyle name="40% - Accent1 6 35 2" xfId="45096"/>
    <cellStyle name="40% - Accent1 6 36" xfId="260"/>
    <cellStyle name="40% - Accent1 6 37" xfId="22977"/>
    <cellStyle name="40% - Accent1 6 4" xfId="346"/>
    <cellStyle name="40% - Accent1 6 4 2" xfId="2641"/>
    <cellStyle name="40% - Accent1 6 4 2 2" xfId="25416"/>
    <cellStyle name="40% - Accent1 6 4 3" xfId="23120"/>
    <cellStyle name="40% - Accent1 6 5" xfId="1001"/>
    <cellStyle name="40% - Accent1 6 5 2" xfId="3297"/>
    <cellStyle name="40% - Accent1 6 5 2 2" xfId="26072"/>
    <cellStyle name="40% - Accent1 6 5 3" xfId="23776"/>
    <cellStyle name="40% - Accent1 6 6" xfId="1657"/>
    <cellStyle name="40% - Accent1 6 6 2" xfId="3953"/>
    <cellStyle name="40% - Accent1 6 6 2 2" xfId="26728"/>
    <cellStyle name="40% - Accent1 6 6 3" xfId="24432"/>
    <cellStyle name="40% - Accent1 6 7" xfId="4609"/>
    <cellStyle name="40% - Accent1 6 7 2" xfId="27384"/>
    <cellStyle name="40% - Accent1 6 8" xfId="5265"/>
    <cellStyle name="40% - Accent1 6 8 2" xfId="28040"/>
    <cellStyle name="40% - Accent1 6 9" xfId="5921"/>
    <cellStyle name="40% - Accent1 6 9 2" xfId="28696"/>
    <cellStyle name="40% - Accent1 7" xfId="419"/>
    <cellStyle name="40% - Accent1 7 10" xfId="6650"/>
    <cellStyle name="40% - Accent1 7 10 2" xfId="29425"/>
    <cellStyle name="40% - Accent1 7 11" xfId="7306"/>
    <cellStyle name="40% - Accent1 7 11 2" xfId="30081"/>
    <cellStyle name="40% - Accent1 7 12" xfId="7962"/>
    <cellStyle name="40% - Accent1 7 12 2" xfId="30737"/>
    <cellStyle name="40% - Accent1 7 13" xfId="8618"/>
    <cellStyle name="40% - Accent1 7 13 2" xfId="31393"/>
    <cellStyle name="40% - Accent1 7 14" xfId="9274"/>
    <cellStyle name="40% - Accent1 7 14 2" xfId="32049"/>
    <cellStyle name="40% - Accent1 7 15" xfId="9930"/>
    <cellStyle name="40% - Accent1 7 15 2" xfId="32705"/>
    <cellStyle name="40% - Accent1 7 16" xfId="10586"/>
    <cellStyle name="40% - Accent1 7 16 2" xfId="33361"/>
    <cellStyle name="40% - Accent1 7 17" xfId="11242"/>
    <cellStyle name="40% - Accent1 7 17 2" xfId="34017"/>
    <cellStyle name="40% - Accent1 7 18" xfId="11898"/>
    <cellStyle name="40% - Accent1 7 18 2" xfId="34673"/>
    <cellStyle name="40% - Accent1 7 19" xfId="12554"/>
    <cellStyle name="40% - Accent1 7 19 2" xfId="35329"/>
    <cellStyle name="40% - Accent1 7 2" xfId="746"/>
    <cellStyle name="40% - Accent1 7 2 10" xfId="8290"/>
    <cellStyle name="40% - Accent1 7 2 10 2" xfId="31065"/>
    <cellStyle name="40% - Accent1 7 2 11" xfId="8946"/>
    <cellStyle name="40% - Accent1 7 2 11 2" xfId="31721"/>
    <cellStyle name="40% - Accent1 7 2 12" xfId="9602"/>
    <cellStyle name="40% - Accent1 7 2 12 2" xfId="32377"/>
    <cellStyle name="40% - Accent1 7 2 13" xfId="10258"/>
    <cellStyle name="40% - Accent1 7 2 13 2" xfId="33033"/>
    <cellStyle name="40% - Accent1 7 2 14" xfId="10914"/>
    <cellStyle name="40% - Accent1 7 2 14 2" xfId="33689"/>
    <cellStyle name="40% - Accent1 7 2 15" xfId="11570"/>
    <cellStyle name="40% - Accent1 7 2 15 2" xfId="34345"/>
    <cellStyle name="40% - Accent1 7 2 16" xfId="12226"/>
    <cellStyle name="40% - Accent1 7 2 16 2" xfId="35001"/>
    <cellStyle name="40% - Accent1 7 2 17" xfId="12882"/>
    <cellStyle name="40% - Accent1 7 2 17 2" xfId="35657"/>
    <cellStyle name="40% - Accent1 7 2 18" xfId="13538"/>
    <cellStyle name="40% - Accent1 7 2 18 2" xfId="36313"/>
    <cellStyle name="40% - Accent1 7 2 19" xfId="14194"/>
    <cellStyle name="40% - Accent1 7 2 19 2" xfId="36969"/>
    <cellStyle name="40% - Accent1 7 2 2" xfId="1402"/>
    <cellStyle name="40% - Accent1 7 2 2 2" xfId="3698"/>
    <cellStyle name="40% - Accent1 7 2 2 2 2" xfId="26473"/>
    <cellStyle name="40% - Accent1 7 2 2 3" xfId="24177"/>
    <cellStyle name="40% - Accent1 7 2 20" xfId="14850"/>
    <cellStyle name="40% - Accent1 7 2 20 2" xfId="37625"/>
    <cellStyle name="40% - Accent1 7 2 21" xfId="15506"/>
    <cellStyle name="40% - Accent1 7 2 21 2" xfId="38281"/>
    <cellStyle name="40% - Accent1 7 2 22" xfId="16162"/>
    <cellStyle name="40% - Accent1 7 2 22 2" xfId="38937"/>
    <cellStyle name="40% - Accent1 7 2 23" xfId="16818"/>
    <cellStyle name="40% - Accent1 7 2 23 2" xfId="39593"/>
    <cellStyle name="40% - Accent1 7 2 24" xfId="17474"/>
    <cellStyle name="40% - Accent1 7 2 24 2" xfId="40249"/>
    <cellStyle name="40% - Accent1 7 2 25" xfId="18130"/>
    <cellStyle name="40% - Accent1 7 2 25 2" xfId="40905"/>
    <cellStyle name="40% - Accent1 7 2 26" xfId="18786"/>
    <cellStyle name="40% - Accent1 7 2 26 2" xfId="41561"/>
    <cellStyle name="40% - Accent1 7 2 27" xfId="19442"/>
    <cellStyle name="40% - Accent1 7 2 27 2" xfId="42217"/>
    <cellStyle name="40% - Accent1 7 2 28" xfId="20098"/>
    <cellStyle name="40% - Accent1 7 2 28 2" xfId="42873"/>
    <cellStyle name="40% - Accent1 7 2 29" xfId="20754"/>
    <cellStyle name="40% - Accent1 7 2 29 2" xfId="43529"/>
    <cellStyle name="40% - Accent1 7 2 3" xfId="2058"/>
    <cellStyle name="40% - Accent1 7 2 3 2" xfId="4354"/>
    <cellStyle name="40% - Accent1 7 2 3 2 2" xfId="27129"/>
    <cellStyle name="40% - Accent1 7 2 3 3" xfId="24833"/>
    <cellStyle name="40% - Accent1 7 2 30" xfId="21410"/>
    <cellStyle name="40% - Accent1 7 2 30 2" xfId="44185"/>
    <cellStyle name="40% - Accent1 7 2 31" xfId="22066"/>
    <cellStyle name="40% - Accent1 7 2 31 2" xfId="44841"/>
    <cellStyle name="40% - Accent1 7 2 32" xfId="22722"/>
    <cellStyle name="40% - Accent1 7 2 32 2" xfId="45497"/>
    <cellStyle name="40% - Accent1 7 2 33" xfId="23521"/>
    <cellStyle name="40% - Accent1 7 2 4" xfId="5010"/>
    <cellStyle name="40% - Accent1 7 2 4 2" xfId="27785"/>
    <cellStyle name="40% - Accent1 7 2 5" xfId="5666"/>
    <cellStyle name="40% - Accent1 7 2 5 2" xfId="28441"/>
    <cellStyle name="40% - Accent1 7 2 6" xfId="6322"/>
    <cellStyle name="40% - Accent1 7 2 6 2" xfId="29097"/>
    <cellStyle name="40% - Accent1 7 2 7" xfId="3042"/>
    <cellStyle name="40% - Accent1 7 2 7 2" xfId="25817"/>
    <cellStyle name="40% - Accent1 7 2 8" xfId="6978"/>
    <cellStyle name="40% - Accent1 7 2 8 2" xfId="29753"/>
    <cellStyle name="40% - Accent1 7 2 9" xfId="7634"/>
    <cellStyle name="40% - Accent1 7 2 9 2" xfId="30409"/>
    <cellStyle name="40% - Accent1 7 20" xfId="13210"/>
    <cellStyle name="40% - Accent1 7 20 2" xfId="35985"/>
    <cellStyle name="40% - Accent1 7 21" xfId="13866"/>
    <cellStyle name="40% - Accent1 7 21 2" xfId="36641"/>
    <cellStyle name="40% - Accent1 7 22" xfId="14522"/>
    <cellStyle name="40% - Accent1 7 22 2" xfId="37297"/>
    <cellStyle name="40% - Accent1 7 23" xfId="15178"/>
    <cellStyle name="40% - Accent1 7 23 2" xfId="37953"/>
    <cellStyle name="40% - Accent1 7 24" xfId="15834"/>
    <cellStyle name="40% - Accent1 7 24 2" xfId="38609"/>
    <cellStyle name="40% - Accent1 7 25" xfId="16490"/>
    <cellStyle name="40% - Accent1 7 25 2" xfId="39265"/>
    <cellStyle name="40% - Accent1 7 26" xfId="17146"/>
    <cellStyle name="40% - Accent1 7 26 2" xfId="39921"/>
    <cellStyle name="40% - Accent1 7 27" xfId="17802"/>
    <cellStyle name="40% - Accent1 7 27 2" xfId="40577"/>
    <cellStyle name="40% - Accent1 7 28" xfId="18458"/>
    <cellStyle name="40% - Accent1 7 28 2" xfId="41233"/>
    <cellStyle name="40% - Accent1 7 29" xfId="19114"/>
    <cellStyle name="40% - Accent1 7 29 2" xfId="41889"/>
    <cellStyle name="40% - Accent1 7 3" xfId="1074"/>
    <cellStyle name="40% - Accent1 7 3 2" xfId="2714"/>
    <cellStyle name="40% - Accent1 7 3 2 2" xfId="25489"/>
    <cellStyle name="40% - Accent1 7 3 3" xfId="23849"/>
    <cellStyle name="40% - Accent1 7 30" xfId="19770"/>
    <cellStyle name="40% - Accent1 7 30 2" xfId="42545"/>
    <cellStyle name="40% - Accent1 7 31" xfId="20426"/>
    <cellStyle name="40% - Accent1 7 31 2" xfId="43201"/>
    <cellStyle name="40% - Accent1 7 32" xfId="21082"/>
    <cellStyle name="40% - Accent1 7 32 2" xfId="43857"/>
    <cellStyle name="40% - Accent1 7 33" xfId="21738"/>
    <cellStyle name="40% - Accent1 7 33 2" xfId="44513"/>
    <cellStyle name="40% - Accent1 7 34" xfId="22394"/>
    <cellStyle name="40% - Accent1 7 34 2" xfId="45169"/>
    <cellStyle name="40% - Accent1 7 35" xfId="23193"/>
    <cellStyle name="40% - Accent1 7 4" xfId="1730"/>
    <cellStyle name="40% - Accent1 7 4 2" xfId="3370"/>
    <cellStyle name="40% - Accent1 7 4 2 2" xfId="26145"/>
    <cellStyle name="40% - Accent1 7 4 3" xfId="24505"/>
    <cellStyle name="40% - Accent1 7 5" xfId="4026"/>
    <cellStyle name="40% - Accent1 7 5 2" xfId="26801"/>
    <cellStyle name="40% - Accent1 7 6" xfId="4682"/>
    <cellStyle name="40% - Accent1 7 6 2" xfId="27457"/>
    <cellStyle name="40% - Accent1 7 7" xfId="5338"/>
    <cellStyle name="40% - Accent1 7 7 2" xfId="28113"/>
    <cellStyle name="40% - Accent1 7 8" xfId="5994"/>
    <cellStyle name="40% - Accent1 7 8 2" xfId="28769"/>
    <cellStyle name="40% - Accent1 7 9" xfId="2386"/>
    <cellStyle name="40% - Accent1 7 9 2" xfId="25161"/>
    <cellStyle name="40% - Accent1 8" xfId="433"/>
    <cellStyle name="40% - Accent1 8 10" xfId="6664"/>
    <cellStyle name="40% - Accent1 8 10 2" xfId="29439"/>
    <cellStyle name="40% - Accent1 8 11" xfId="7320"/>
    <cellStyle name="40% - Accent1 8 11 2" xfId="30095"/>
    <cellStyle name="40% - Accent1 8 12" xfId="7976"/>
    <cellStyle name="40% - Accent1 8 12 2" xfId="30751"/>
    <cellStyle name="40% - Accent1 8 13" xfId="8632"/>
    <cellStyle name="40% - Accent1 8 13 2" xfId="31407"/>
    <cellStyle name="40% - Accent1 8 14" xfId="9288"/>
    <cellStyle name="40% - Accent1 8 14 2" xfId="32063"/>
    <cellStyle name="40% - Accent1 8 15" xfId="9944"/>
    <cellStyle name="40% - Accent1 8 15 2" xfId="32719"/>
    <cellStyle name="40% - Accent1 8 16" xfId="10600"/>
    <cellStyle name="40% - Accent1 8 16 2" xfId="33375"/>
    <cellStyle name="40% - Accent1 8 17" xfId="11256"/>
    <cellStyle name="40% - Accent1 8 17 2" xfId="34031"/>
    <cellStyle name="40% - Accent1 8 18" xfId="11912"/>
    <cellStyle name="40% - Accent1 8 18 2" xfId="34687"/>
    <cellStyle name="40% - Accent1 8 19" xfId="12568"/>
    <cellStyle name="40% - Accent1 8 19 2" xfId="35343"/>
    <cellStyle name="40% - Accent1 8 2" xfId="760"/>
    <cellStyle name="40% - Accent1 8 2 10" xfId="8304"/>
    <cellStyle name="40% - Accent1 8 2 10 2" xfId="31079"/>
    <cellStyle name="40% - Accent1 8 2 11" xfId="8960"/>
    <cellStyle name="40% - Accent1 8 2 11 2" xfId="31735"/>
    <cellStyle name="40% - Accent1 8 2 12" xfId="9616"/>
    <cellStyle name="40% - Accent1 8 2 12 2" xfId="32391"/>
    <cellStyle name="40% - Accent1 8 2 13" xfId="10272"/>
    <cellStyle name="40% - Accent1 8 2 13 2" xfId="33047"/>
    <cellStyle name="40% - Accent1 8 2 14" xfId="10928"/>
    <cellStyle name="40% - Accent1 8 2 14 2" xfId="33703"/>
    <cellStyle name="40% - Accent1 8 2 15" xfId="11584"/>
    <cellStyle name="40% - Accent1 8 2 15 2" xfId="34359"/>
    <cellStyle name="40% - Accent1 8 2 16" xfId="12240"/>
    <cellStyle name="40% - Accent1 8 2 16 2" xfId="35015"/>
    <cellStyle name="40% - Accent1 8 2 17" xfId="12896"/>
    <cellStyle name="40% - Accent1 8 2 17 2" xfId="35671"/>
    <cellStyle name="40% - Accent1 8 2 18" xfId="13552"/>
    <cellStyle name="40% - Accent1 8 2 18 2" xfId="36327"/>
    <cellStyle name="40% - Accent1 8 2 19" xfId="14208"/>
    <cellStyle name="40% - Accent1 8 2 19 2" xfId="36983"/>
    <cellStyle name="40% - Accent1 8 2 2" xfId="1416"/>
    <cellStyle name="40% - Accent1 8 2 2 2" xfId="3712"/>
    <cellStyle name="40% - Accent1 8 2 2 2 2" xfId="26487"/>
    <cellStyle name="40% - Accent1 8 2 2 3" xfId="24191"/>
    <cellStyle name="40% - Accent1 8 2 20" xfId="14864"/>
    <cellStyle name="40% - Accent1 8 2 20 2" xfId="37639"/>
    <cellStyle name="40% - Accent1 8 2 21" xfId="15520"/>
    <cellStyle name="40% - Accent1 8 2 21 2" xfId="38295"/>
    <cellStyle name="40% - Accent1 8 2 22" xfId="16176"/>
    <cellStyle name="40% - Accent1 8 2 22 2" xfId="38951"/>
    <cellStyle name="40% - Accent1 8 2 23" xfId="16832"/>
    <cellStyle name="40% - Accent1 8 2 23 2" xfId="39607"/>
    <cellStyle name="40% - Accent1 8 2 24" xfId="17488"/>
    <cellStyle name="40% - Accent1 8 2 24 2" xfId="40263"/>
    <cellStyle name="40% - Accent1 8 2 25" xfId="18144"/>
    <cellStyle name="40% - Accent1 8 2 25 2" xfId="40919"/>
    <cellStyle name="40% - Accent1 8 2 26" xfId="18800"/>
    <cellStyle name="40% - Accent1 8 2 26 2" xfId="41575"/>
    <cellStyle name="40% - Accent1 8 2 27" xfId="19456"/>
    <cellStyle name="40% - Accent1 8 2 27 2" xfId="42231"/>
    <cellStyle name="40% - Accent1 8 2 28" xfId="20112"/>
    <cellStyle name="40% - Accent1 8 2 28 2" xfId="42887"/>
    <cellStyle name="40% - Accent1 8 2 29" xfId="20768"/>
    <cellStyle name="40% - Accent1 8 2 29 2" xfId="43543"/>
    <cellStyle name="40% - Accent1 8 2 3" xfId="2072"/>
    <cellStyle name="40% - Accent1 8 2 3 2" xfId="4368"/>
    <cellStyle name="40% - Accent1 8 2 3 2 2" xfId="27143"/>
    <cellStyle name="40% - Accent1 8 2 3 3" xfId="24847"/>
    <cellStyle name="40% - Accent1 8 2 30" xfId="21424"/>
    <cellStyle name="40% - Accent1 8 2 30 2" xfId="44199"/>
    <cellStyle name="40% - Accent1 8 2 31" xfId="22080"/>
    <cellStyle name="40% - Accent1 8 2 31 2" xfId="44855"/>
    <cellStyle name="40% - Accent1 8 2 32" xfId="22736"/>
    <cellStyle name="40% - Accent1 8 2 32 2" xfId="45511"/>
    <cellStyle name="40% - Accent1 8 2 33" xfId="23535"/>
    <cellStyle name="40% - Accent1 8 2 4" xfId="5024"/>
    <cellStyle name="40% - Accent1 8 2 4 2" xfId="27799"/>
    <cellStyle name="40% - Accent1 8 2 5" xfId="5680"/>
    <cellStyle name="40% - Accent1 8 2 5 2" xfId="28455"/>
    <cellStyle name="40% - Accent1 8 2 6" xfId="6336"/>
    <cellStyle name="40% - Accent1 8 2 6 2" xfId="29111"/>
    <cellStyle name="40% - Accent1 8 2 7" xfId="3056"/>
    <cellStyle name="40% - Accent1 8 2 7 2" xfId="25831"/>
    <cellStyle name="40% - Accent1 8 2 8" xfId="6992"/>
    <cellStyle name="40% - Accent1 8 2 8 2" xfId="29767"/>
    <cellStyle name="40% - Accent1 8 2 9" xfId="7648"/>
    <cellStyle name="40% - Accent1 8 2 9 2" xfId="30423"/>
    <cellStyle name="40% - Accent1 8 20" xfId="13224"/>
    <cellStyle name="40% - Accent1 8 20 2" xfId="35999"/>
    <cellStyle name="40% - Accent1 8 21" xfId="13880"/>
    <cellStyle name="40% - Accent1 8 21 2" xfId="36655"/>
    <cellStyle name="40% - Accent1 8 22" xfId="14536"/>
    <cellStyle name="40% - Accent1 8 22 2" xfId="37311"/>
    <cellStyle name="40% - Accent1 8 23" xfId="15192"/>
    <cellStyle name="40% - Accent1 8 23 2" xfId="37967"/>
    <cellStyle name="40% - Accent1 8 24" xfId="15848"/>
    <cellStyle name="40% - Accent1 8 24 2" xfId="38623"/>
    <cellStyle name="40% - Accent1 8 25" xfId="16504"/>
    <cellStyle name="40% - Accent1 8 25 2" xfId="39279"/>
    <cellStyle name="40% - Accent1 8 26" xfId="17160"/>
    <cellStyle name="40% - Accent1 8 26 2" xfId="39935"/>
    <cellStyle name="40% - Accent1 8 27" xfId="17816"/>
    <cellStyle name="40% - Accent1 8 27 2" xfId="40591"/>
    <cellStyle name="40% - Accent1 8 28" xfId="18472"/>
    <cellStyle name="40% - Accent1 8 28 2" xfId="41247"/>
    <cellStyle name="40% - Accent1 8 29" xfId="19128"/>
    <cellStyle name="40% - Accent1 8 29 2" xfId="41903"/>
    <cellStyle name="40% - Accent1 8 3" xfId="1088"/>
    <cellStyle name="40% - Accent1 8 3 2" xfId="2728"/>
    <cellStyle name="40% - Accent1 8 3 2 2" xfId="25503"/>
    <cellStyle name="40% - Accent1 8 3 3" xfId="23863"/>
    <cellStyle name="40% - Accent1 8 30" xfId="19784"/>
    <cellStyle name="40% - Accent1 8 30 2" xfId="42559"/>
    <cellStyle name="40% - Accent1 8 31" xfId="20440"/>
    <cellStyle name="40% - Accent1 8 31 2" xfId="43215"/>
    <cellStyle name="40% - Accent1 8 32" xfId="21096"/>
    <cellStyle name="40% - Accent1 8 32 2" xfId="43871"/>
    <cellStyle name="40% - Accent1 8 33" xfId="21752"/>
    <cellStyle name="40% - Accent1 8 33 2" xfId="44527"/>
    <cellStyle name="40% - Accent1 8 34" xfId="22408"/>
    <cellStyle name="40% - Accent1 8 34 2" xfId="45183"/>
    <cellStyle name="40% - Accent1 8 35" xfId="23207"/>
    <cellStyle name="40% - Accent1 8 4" xfId="1744"/>
    <cellStyle name="40% - Accent1 8 4 2" xfId="3384"/>
    <cellStyle name="40% - Accent1 8 4 2 2" xfId="26159"/>
    <cellStyle name="40% - Accent1 8 4 3" xfId="24519"/>
    <cellStyle name="40% - Accent1 8 5" xfId="4040"/>
    <cellStyle name="40% - Accent1 8 5 2" xfId="26815"/>
    <cellStyle name="40% - Accent1 8 6" xfId="4696"/>
    <cellStyle name="40% - Accent1 8 6 2" xfId="27471"/>
    <cellStyle name="40% - Accent1 8 7" xfId="5352"/>
    <cellStyle name="40% - Accent1 8 7 2" xfId="28127"/>
    <cellStyle name="40% - Accent1 8 8" xfId="6008"/>
    <cellStyle name="40% - Accent1 8 8 2" xfId="28783"/>
    <cellStyle name="40% - Accent1 8 9" xfId="2400"/>
    <cellStyle name="40% - Accent1 8 9 2" xfId="25175"/>
    <cellStyle name="40% - Accent1 9" xfId="447"/>
    <cellStyle name="40% - Accent1 9 10" xfId="6678"/>
    <cellStyle name="40% - Accent1 9 10 2" xfId="29453"/>
    <cellStyle name="40% - Accent1 9 11" xfId="7334"/>
    <cellStyle name="40% - Accent1 9 11 2" xfId="30109"/>
    <cellStyle name="40% - Accent1 9 12" xfId="7990"/>
    <cellStyle name="40% - Accent1 9 12 2" xfId="30765"/>
    <cellStyle name="40% - Accent1 9 13" xfId="8646"/>
    <cellStyle name="40% - Accent1 9 13 2" xfId="31421"/>
    <cellStyle name="40% - Accent1 9 14" xfId="9302"/>
    <cellStyle name="40% - Accent1 9 14 2" xfId="32077"/>
    <cellStyle name="40% - Accent1 9 15" xfId="9958"/>
    <cellStyle name="40% - Accent1 9 15 2" xfId="32733"/>
    <cellStyle name="40% - Accent1 9 16" xfId="10614"/>
    <cellStyle name="40% - Accent1 9 16 2" xfId="33389"/>
    <cellStyle name="40% - Accent1 9 17" xfId="11270"/>
    <cellStyle name="40% - Accent1 9 17 2" xfId="34045"/>
    <cellStyle name="40% - Accent1 9 18" xfId="11926"/>
    <cellStyle name="40% - Accent1 9 18 2" xfId="34701"/>
    <cellStyle name="40% - Accent1 9 19" xfId="12582"/>
    <cellStyle name="40% - Accent1 9 19 2" xfId="35357"/>
    <cellStyle name="40% - Accent1 9 2" xfId="774"/>
    <cellStyle name="40% - Accent1 9 2 10" xfId="8318"/>
    <cellStyle name="40% - Accent1 9 2 10 2" xfId="31093"/>
    <cellStyle name="40% - Accent1 9 2 11" xfId="8974"/>
    <cellStyle name="40% - Accent1 9 2 11 2" xfId="31749"/>
    <cellStyle name="40% - Accent1 9 2 12" xfId="9630"/>
    <cellStyle name="40% - Accent1 9 2 12 2" xfId="32405"/>
    <cellStyle name="40% - Accent1 9 2 13" xfId="10286"/>
    <cellStyle name="40% - Accent1 9 2 13 2" xfId="33061"/>
    <cellStyle name="40% - Accent1 9 2 14" xfId="10942"/>
    <cellStyle name="40% - Accent1 9 2 14 2" xfId="33717"/>
    <cellStyle name="40% - Accent1 9 2 15" xfId="11598"/>
    <cellStyle name="40% - Accent1 9 2 15 2" xfId="34373"/>
    <cellStyle name="40% - Accent1 9 2 16" xfId="12254"/>
    <cellStyle name="40% - Accent1 9 2 16 2" xfId="35029"/>
    <cellStyle name="40% - Accent1 9 2 17" xfId="12910"/>
    <cellStyle name="40% - Accent1 9 2 17 2" xfId="35685"/>
    <cellStyle name="40% - Accent1 9 2 18" xfId="13566"/>
    <cellStyle name="40% - Accent1 9 2 18 2" xfId="36341"/>
    <cellStyle name="40% - Accent1 9 2 19" xfId="14222"/>
    <cellStyle name="40% - Accent1 9 2 19 2" xfId="36997"/>
    <cellStyle name="40% - Accent1 9 2 2" xfId="1430"/>
    <cellStyle name="40% - Accent1 9 2 2 2" xfId="3726"/>
    <cellStyle name="40% - Accent1 9 2 2 2 2" xfId="26501"/>
    <cellStyle name="40% - Accent1 9 2 2 3" xfId="24205"/>
    <cellStyle name="40% - Accent1 9 2 20" xfId="14878"/>
    <cellStyle name="40% - Accent1 9 2 20 2" xfId="37653"/>
    <cellStyle name="40% - Accent1 9 2 21" xfId="15534"/>
    <cellStyle name="40% - Accent1 9 2 21 2" xfId="38309"/>
    <cellStyle name="40% - Accent1 9 2 22" xfId="16190"/>
    <cellStyle name="40% - Accent1 9 2 22 2" xfId="38965"/>
    <cellStyle name="40% - Accent1 9 2 23" xfId="16846"/>
    <cellStyle name="40% - Accent1 9 2 23 2" xfId="39621"/>
    <cellStyle name="40% - Accent1 9 2 24" xfId="17502"/>
    <cellStyle name="40% - Accent1 9 2 24 2" xfId="40277"/>
    <cellStyle name="40% - Accent1 9 2 25" xfId="18158"/>
    <cellStyle name="40% - Accent1 9 2 25 2" xfId="40933"/>
    <cellStyle name="40% - Accent1 9 2 26" xfId="18814"/>
    <cellStyle name="40% - Accent1 9 2 26 2" xfId="41589"/>
    <cellStyle name="40% - Accent1 9 2 27" xfId="19470"/>
    <cellStyle name="40% - Accent1 9 2 27 2" xfId="42245"/>
    <cellStyle name="40% - Accent1 9 2 28" xfId="20126"/>
    <cellStyle name="40% - Accent1 9 2 28 2" xfId="42901"/>
    <cellStyle name="40% - Accent1 9 2 29" xfId="20782"/>
    <cellStyle name="40% - Accent1 9 2 29 2" xfId="43557"/>
    <cellStyle name="40% - Accent1 9 2 3" xfId="2086"/>
    <cellStyle name="40% - Accent1 9 2 3 2" xfId="4382"/>
    <cellStyle name="40% - Accent1 9 2 3 2 2" xfId="27157"/>
    <cellStyle name="40% - Accent1 9 2 3 3" xfId="24861"/>
    <cellStyle name="40% - Accent1 9 2 30" xfId="21438"/>
    <cellStyle name="40% - Accent1 9 2 30 2" xfId="44213"/>
    <cellStyle name="40% - Accent1 9 2 31" xfId="22094"/>
    <cellStyle name="40% - Accent1 9 2 31 2" xfId="44869"/>
    <cellStyle name="40% - Accent1 9 2 32" xfId="22750"/>
    <cellStyle name="40% - Accent1 9 2 32 2" xfId="45525"/>
    <cellStyle name="40% - Accent1 9 2 33" xfId="23549"/>
    <cellStyle name="40% - Accent1 9 2 4" xfId="5038"/>
    <cellStyle name="40% - Accent1 9 2 4 2" xfId="27813"/>
    <cellStyle name="40% - Accent1 9 2 5" xfId="5694"/>
    <cellStyle name="40% - Accent1 9 2 5 2" xfId="28469"/>
    <cellStyle name="40% - Accent1 9 2 6" xfId="6350"/>
    <cellStyle name="40% - Accent1 9 2 6 2" xfId="29125"/>
    <cellStyle name="40% - Accent1 9 2 7" xfId="3070"/>
    <cellStyle name="40% - Accent1 9 2 7 2" xfId="25845"/>
    <cellStyle name="40% - Accent1 9 2 8" xfId="7006"/>
    <cellStyle name="40% - Accent1 9 2 8 2" xfId="29781"/>
    <cellStyle name="40% - Accent1 9 2 9" xfId="7662"/>
    <cellStyle name="40% - Accent1 9 2 9 2" xfId="30437"/>
    <cellStyle name="40% - Accent1 9 20" xfId="13238"/>
    <cellStyle name="40% - Accent1 9 20 2" xfId="36013"/>
    <cellStyle name="40% - Accent1 9 21" xfId="13894"/>
    <cellStyle name="40% - Accent1 9 21 2" xfId="36669"/>
    <cellStyle name="40% - Accent1 9 22" xfId="14550"/>
    <cellStyle name="40% - Accent1 9 22 2" xfId="37325"/>
    <cellStyle name="40% - Accent1 9 23" xfId="15206"/>
    <cellStyle name="40% - Accent1 9 23 2" xfId="37981"/>
    <cellStyle name="40% - Accent1 9 24" xfId="15862"/>
    <cellStyle name="40% - Accent1 9 24 2" xfId="38637"/>
    <cellStyle name="40% - Accent1 9 25" xfId="16518"/>
    <cellStyle name="40% - Accent1 9 25 2" xfId="39293"/>
    <cellStyle name="40% - Accent1 9 26" xfId="17174"/>
    <cellStyle name="40% - Accent1 9 26 2" xfId="39949"/>
    <cellStyle name="40% - Accent1 9 27" xfId="17830"/>
    <cellStyle name="40% - Accent1 9 27 2" xfId="40605"/>
    <cellStyle name="40% - Accent1 9 28" xfId="18486"/>
    <cellStyle name="40% - Accent1 9 28 2" xfId="41261"/>
    <cellStyle name="40% - Accent1 9 29" xfId="19142"/>
    <cellStyle name="40% - Accent1 9 29 2" xfId="41917"/>
    <cellStyle name="40% - Accent1 9 3" xfId="1102"/>
    <cellStyle name="40% - Accent1 9 3 2" xfId="2742"/>
    <cellStyle name="40% - Accent1 9 3 2 2" xfId="25517"/>
    <cellStyle name="40% - Accent1 9 3 3" xfId="23877"/>
    <cellStyle name="40% - Accent1 9 30" xfId="19798"/>
    <cellStyle name="40% - Accent1 9 30 2" xfId="42573"/>
    <cellStyle name="40% - Accent1 9 31" xfId="20454"/>
    <cellStyle name="40% - Accent1 9 31 2" xfId="43229"/>
    <cellStyle name="40% - Accent1 9 32" xfId="21110"/>
    <cellStyle name="40% - Accent1 9 32 2" xfId="43885"/>
    <cellStyle name="40% - Accent1 9 33" xfId="21766"/>
    <cellStyle name="40% - Accent1 9 33 2" xfId="44541"/>
    <cellStyle name="40% - Accent1 9 34" xfId="22422"/>
    <cellStyle name="40% - Accent1 9 34 2" xfId="45197"/>
    <cellStyle name="40% - Accent1 9 35" xfId="23221"/>
    <cellStyle name="40% - Accent1 9 4" xfId="1758"/>
    <cellStyle name="40% - Accent1 9 4 2" xfId="3398"/>
    <cellStyle name="40% - Accent1 9 4 2 2" xfId="26173"/>
    <cellStyle name="40% - Accent1 9 4 3" xfId="24533"/>
    <cellStyle name="40% - Accent1 9 5" xfId="4054"/>
    <cellStyle name="40% - Accent1 9 5 2" xfId="26829"/>
    <cellStyle name="40% - Accent1 9 6" xfId="4710"/>
    <cellStyle name="40% - Accent1 9 6 2" xfId="27485"/>
    <cellStyle name="40% - Accent1 9 7" xfId="5366"/>
    <cellStyle name="40% - Accent1 9 7 2" xfId="28141"/>
    <cellStyle name="40% - Accent1 9 8" xfId="6022"/>
    <cellStyle name="40% - Accent1 9 8 2" xfId="28797"/>
    <cellStyle name="40% - Accent1 9 9" xfId="2414"/>
    <cellStyle name="40% - Accent1 9 9 2" xfId="25189"/>
    <cellStyle name="40% - Accent2" xfId="26" builtinId="35" customBuiltin="1"/>
    <cellStyle name="40% - Accent2 10" xfId="461"/>
    <cellStyle name="40% - Accent2 10 10" xfId="6692"/>
    <cellStyle name="40% - Accent2 10 10 2" xfId="29467"/>
    <cellStyle name="40% - Accent2 10 11" xfId="7348"/>
    <cellStyle name="40% - Accent2 10 11 2" xfId="30123"/>
    <cellStyle name="40% - Accent2 10 12" xfId="8004"/>
    <cellStyle name="40% - Accent2 10 12 2" xfId="30779"/>
    <cellStyle name="40% - Accent2 10 13" xfId="8660"/>
    <cellStyle name="40% - Accent2 10 13 2" xfId="31435"/>
    <cellStyle name="40% - Accent2 10 14" xfId="9316"/>
    <cellStyle name="40% - Accent2 10 14 2" xfId="32091"/>
    <cellStyle name="40% - Accent2 10 15" xfId="9972"/>
    <cellStyle name="40% - Accent2 10 15 2" xfId="32747"/>
    <cellStyle name="40% - Accent2 10 16" xfId="10628"/>
    <cellStyle name="40% - Accent2 10 16 2" xfId="33403"/>
    <cellStyle name="40% - Accent2 10 17" xfId="11284"/>
    <cellStyle name="40% - Accent2 10 17 2" xfId="34059"/>
    <cellStyle name="40% - Accent2 10 18" xfId="11940"/>
    <cellStyle name="40% - Accent2 10 18 2" xfId="34715"/>
    <cellStyle name="40% - Accent2 10 19" xfId="12596"/>
    <cellStyle name="40% - Accent2 10 19 2" xfId="35371"/>
    <cellStyle name="40% - Accent2 10 2" xfId="788"/>
    <cellStyle name="40% - Accent2 10 2 10" xfId="8332"/>
    <cellStyle name="40% - Accent2 10 2 10 2" xfId="31107"/>
    <cellStyle name="40% - Accent2 10 2 11" xfId="8988"/>
    <cellStyle name="40% - Accent2 10 2 11 2" xfId="31763"/>
    <cellStyle name="40% - Accent2 10 2 12" xfId="9644"/>
    <cellStyle name="40% - Accent2 10 2 12 2" xfId="32419"/>
    <cellStyle name="40% - Accent2 10 2 13" xfId="10300"/>
    <cellStyle name="40% - Accent2 10 2 13 2" xfId="33075"/>
    <cellStyle name="40% - Accent2 10 2 14" xfId="10956"/>
    <cellStyle name="40% - Accent2 10 2 14 2" xfId="33731"/>
    <cellStyle name="40% - Accent2 10 2 15" xfId="11612"/>
    <cellStyle name="40% - Accent2 10 2 15 2" xfId="34387"/>
    <cellStyle name="40% - Accent2 10 2 16" xfId="12268"/>
    <cellStyle name="40% - Accent2 10 2 16 2" xfId="35043"/>
    <cellStyle name="40% - Accent2 10 2 17" xfId="12924"/>
    <cellStyle name="40% - Accent2 10 2 17 2" xfId="35699"/>
    <cellStyle name="40% - Accent2 10 2 18" xfId="13580"/>
    <cellStyle name="40% - Accent2 10 2 18 2" xfId="36355"/>
    <cellStyle name="40% - Accent2 10 2 19" xfId="14236"/>
    <cellStyle name="40% - Accent2 10 2 19 2" xfId="37011"/>
    <cellStyle name="40% - Accent2 10 2 2" xfId="1444"/>
    <cellStyle name="40% - Accent2 10 2 2 2" xfId="3740"/>
    <cellStyle name="40% - Accent2 10 2 2 2 2" xfId="26515"/>
    <cellStyle name="40% - Accent2 10 2 2 3" xfId="24219"/>
    <cellStyle name="40% - Accent2 10 2 20" xfId="14892"/>
    <cellStyle name="40% - Accent2 10 2 20 2" xfId="37667"/>
    <cellStyle name="40% - Accent2 10 2 21" xfId="15548"/>
    <cellStyle name="40% - Accent2 10 2 21 2" xfId="38323"/>
    <cellStyle name="40% - Accent2 10 2 22" xfId="16204"/>
    <cellStyle name="40% - Accent2 10 2 22 2" xfId="38979"/>
    <cellStyle name="40% - Accent2 10 2 23" xfId="16860"/>
    <cellStyle name="40% - Accent2 10 2 23 2" xfId="39635"/>
    <cellStyle name="40% - Accent2 10 2 24" xfId="17516"/>
    <cellStyle name="40% - Accent2 10 2 24 2" xfId="40291"/>
    <cellStyle name="40% - Accent2 10 2 25" xfId="18172"/>
    <cellStyle name="40% - Accent2 10 2 25 2" xfId="40947"/>
    <cellStyle name="40% - Accent2 10 2 26" xfId="18828"/>
    <cellStyle name="40% - Accent2 10 2 26 2" xfId="41603"/>
    <cellStyle name="40% - Accent2 10 2 27" xfId="19484"/>
    <cellStyle name="40% - Accent2 10 2 27 2" xfId="42259"/>
    <cellStyle name="40% - Accent2 10 2 28" xfId="20140"/>
    <cellStyle name="40% - Accent2 10 2 28 2" xfId="42915"/>
    <cellStyle name="40% - Accent2 10 2 29" xfId="20796"/>
    <cellStyle name="40% - Accent2 10 2 29 2" xfId="43571"/>
    <cellStyle name="40% - Accent2 10 2 3" xfId="2100"/>
    <cellStyle name="40% - Accent2 10 2 3 2" xfId="4396"/>
    <cellStyle name="40% - Accent2 10 2 3 2 2" xfId="27171"/>
    <cellStyle name="40% - Accent2 10 2 3 3" xfId="24875"/>
    <cellStyle name="40% - Accent2 10 2 30" xfId="21452"/>
    <cellStyle name="40% - Accent2 10 2 30 2" xfId="44227"/>
    <cellStyle name="40% - Accent2 10 2 31" xfId="22108"/>
    <cellStyle name="40% - Accent2 10 2 31 2" xfId="44883"/>
    <cellStyle name="40% - Accent2 10 2 32" xfId="22764"/>
    <cellStyle name="40% - Accent2 10 2 32 2" xfId="45539"/>
    <cellStyle name="40% - Accent2 10 2 33" xfId="23563"/>
    <cellStyle name="40% - Accent2 10 2 4" xfId="5052"/>
    <cellStyle name="40% - Accent2 10 2 4 2" xfId="27827"/>
    <cellStyle name="40% - Accent2 10 2 5" xfId="5708"/>
    <cellStyle name="40% - Accent2 10 2 5 2" xfId="28483"/>
    <cellStyle name="40% - Accent2 10 2 6" xfId="6364"/>
    <cellStyle name="40% - Accent2 10 2 6 2" xfId="29139"/>
    <cellStyle name="40% - Accent2 10 2 7" xfId="3084"/>
    <cellStyle name="40% - Accent2 10 2 7 2" xfId="25859"/>
    <cellStyle name="40% - Accent2 10 2 8" xfId="7020"/>
    <cellStyle name="40% - Accent2 10 2 8 2" xfId="29795"/>
    <cellStyle name="40% - Accent2 10 2 9" xfId="7676"/>
    <cellStyle name="40% - Accent2 10 2 9 2" xfId="30451"/>
    <cellStyle name="40% - Accent2 10 20" xfId="13252"/>
    <cellStyle name="40% - Accent2 10 20 2" xfId="36027"/>
    <cellStyle name="40% - Accent2 10 21" xfId="13908"/>
    <cellStyle name="40% - Accent2 10 21 2" xfId="36683"/>
    <cellStyle name="40% - Accent2 10 22" xfId="14564"/>
    <cellStyle name="40% - Accent2 10 22 2" xfId="37339"/>
    <cellStyle name="40% - Accent2 10 23" xfId="15220"/>
    <cellStyle name="40% - Accent2 10 23 2" xfId="37995"/>
    <cellStyle name="40% - Accent2 10 24" xfId="15876"/>
    <cellStyle name="40% - Accent2 10 24 2" xfId="38651"/>
    <cellStyle name="40% - Accent2 10 25" xfId="16532"/>
    <cellStyle name="40% - Accent2 10 25 2" xfId="39307"/>
    <cellStyle name="40% - Accent2 10 26" xfId="17188"/>
    <cellStyle name="40% - Accent2 10 26 2" xfId="39963"/>
    <cellStyle name="40% - Accent2 10 27" xfId="17844"/>
    <cellStyle name="40% - Accent2 10 27 2" xfId="40619"/>
    <cellStyle name="40% - Accent2 10 28" xfId="18500"/>
    <cellStyle name="40% - Accent2 10 28 2" xfId="41275"/>
    <cellStyle name="40% - Accent2 10 29" xfId="19156"/>
    <cellStyle name="40% - Accent2 10 29 2" xfId="41931"/>
    <cellStyle name="40% - Accent2 10 3" xfId="1116"/>
    <cellStyle name="40% - Accent2 10 3 2" xfId="2756"/>
    <cellStyle name="40% - Accent2 10 3 2 2" xfId="25531"/>
    <cellStyle name="40% - Accent2 10 3 3" xfId="23891"/>
    <cellStyle name="40% - Accent2 10 30" xfId="19812"/>
    <cellStyle name="40% - Accent2 10 30 2" xfId="42587"/>
    <cellStyle name="40% - Accent2 10 31" xfId="20468"/>
    <cellStyle name="40% - Accent2 10 31 2" xfId="43243"/>
    <cellStyle name="40% - Accent2 10 32" xfId="21124"/>
    <cellStyle name="40% - Accent2 10 32 2" xfId="43899"/>
    <cellStyle name="40% - Accent2 10 33" xfId="21780"/>
    <cellStyle name="40% - Accent2 10 33 2" xfId="44555"/>
    <cellStyle name="40% - Accent2 10 34" xfId="22436"/>
    <cellStyle name="40% - Accent2 10 34 2" xfId="45211"/>
    <cellStyle name="40% - Accent2 10 35" xfId="23235"/>
    <cellStyle name="40% - Accent2 10 4" xfId="1772"/>
    <cellStyle name="40% - Accent2 10 4 2" xfId="3412"/>
    <cellStyle name="40% - Accent2 10 4 2 2" xfId="26187"/>
    <cellStyle name="40% - Accent2 10 4 3" xfId="24547"/>
    <cellStyle name="40% - Accent2 10 5" xfId="4068"/>
    <cellStyle name="40% - Accent2 10 5 2" xfId="26843"/>
    <cellStyle name="40% - Accent2 10 6" xfId="4724"/>
    <cellStyle name="40% - Accent2 10 6 2" xfId="27499"/>
    <cellStyle name="40% - Accent2 10 7" xfId="5380"/>
    <cellStyle name="40% - Accent2 10 7 2" xfId="28155"/>
    <cellStyle name="40% - Accent2 10 8" xfId="6036"/>
    <cellStyle name="40% - Accent2 10 8 2" xfId="28811"/>
    <cellStyle name="40% - Accent2 10 9" xfId="2428"/>
    <cellStyle name="40% - Accent2 10 9 2" xfId="25203"/>
    <cellStyle name="40% - Accent2 11" xfId="603"/>
    <cellStyle name="40% - Accent2 11 10" xfId="8147"/>
    <cellStyle name="40% - Accent2 11 10 2" xfId="30922"/>
    <cellStyle name="40% - Accent2 11 11" xfId="8803"/>
    <cellStyle name="40% - Accent2 11 11 2" xfId="31578"/>
    <cellStyle name="40% - Accent2 11 12" xfId="9459"/>
    <cellStyle name="40% - Accent2 11 12 2" xfId="32234"/>
    <cellStyle name="40% - Accent2 11 13" xfId="10115"/>
    <cellStyle name="40% - Accent2 11 13 2" xfId="32890"/>
    <cellStyle name="40% - Accent2 11 14" xfId="10771"/>
    <cellStyle name="40% - Accent2 11 14 2" xfId="33546"/>
    <cellStyle name="40% - Accent2 11 15" xfId="11427"/>
    <cellStyle name="40% - Accent2 11 15 2" xfId="34202"/>
    <cellStyle name="40% - Accent2 11 16" xfId="12083"/>
    <cellStyle name="40% - Accent2 11 16 2" xfId="34858"/>
    <cellStyle name="40% - Accent2 11 17" xfId="12739"/>
    <cellStyle name="40% - Accent2 11 17 2" xfId="35514"/>
    <cellStyle name="40% - Accent2 11 18" xfId="13395"/>
    <cellStyle name="40% - Accent2 11 18 2" xfId="36170"/>
    <cellStyle name="40% - Accent2 11 19" xfId="14051"/>
    <cellStyle name="40% - Accent2 11 19 2" xfId="36826"/>
    <cellStyle name="40% - Accent2 11 2" xfId="1259"/>
    <cellStyle name="40% - Accent2 11 2 2" xfId="3555"/>
    <cellStyle name="40% - Accent2 11 2 2 2" xfId="26330"/>
    <cellStyle name="40% - Accent2 11 2 3" xfId="24034"/>
    <cellStyle name="40% - Accent2 11 20" xfId="14707"/>
    <cellStyle name="40% - Accent2 11 20 2" xfId="37482"/>
    <cellStyle name="40% - Accent2 11 21" xfId="15363"/>
    <cellStyle name="40% - Accent2 11 21 2" xfId="38138"/>
    <cellStyle name="40% - Accent2 11 22" xfId="16019"/>
    <cellStyle name="40% - Accent2 11 22 2" xfId="38794"/>
    <cellStyle name="40% - Accent2 11 23" xfId="16675"/>
    <cellStyle name="40% - Accent2 11 23 2" xfId="39450"/>
    <cellStyle name="40% - Accent2 11 24" xfId="17331"/>
    <cellStyle name="40% - Accent2 11 24 2" xfId="40106"/>
    <cellStyle name="40% - Accent2 11 25" xfId="17987"/>
    <cellStyle name="40% - Accent2 11 25 2" xfId="40762"/>
    <cellStyle name="40% - Accent2 11 26" xfId="18643"/>
    <cellStyle name="40% - Accent2 11 26 2" xfId="41418"/>
    <cellStyle name="40% - Accent2 11 27" xfId="19299"/>
    <cellStyle name="40% - Accent2 11 27 2" xfId="42074"/>
    <cellStyle name="40% - Accent2 11 28" xfId="19955"/>
    <cellStyle name="40% - Accent2 11 28 2" xfId="42730"/>
    <cellStyle name="40% - Accent2 11 29" xfId="20611"/>
    <cellStyle name="40% - Accent2 11 29 2" xfId="43386"/>
    <cellStyle name="40% - Accent2 11 3" xfId="1915"/>
    <cellStyle name="40% - Accent2 11 3 2" xfId="4211"/>
    <cellStyle name="40% - Accent2 11 3 2 2" xfId="26986"/>
    <cellStyle name="40% - Accent2 11 3 3" xfId="24690"/>
    <cellStyle name="40% - Accent2 11 30" xfId="21267"/>
    <cellStyle name="40% - Accent2 11 30 2" xfId="44042"/>
    <cellStyle name="40% - Accent2 11 31" xfId="21923"/>
    <cellStyle name="40% - Accent2 11 31 2" xfId="44698"/>
    <cellStyle name="40% - Accent2 11 32" xfId="22579"/>
    <cellStyle name="40% - Accent2 11 32 2" xfId="45354"/>
    <cellStyle name="40% - Accent2 11 33" xfId="23378"/>
    <cellStyle name="40% - Accent2 11 4" xfId="4867"/>
    <cellStyle name="40% - Accent2 11 4 2" xfId="27642"/>
    <cellStyle name="40% - Accent2 11 5" xfId="5523"/>
    <cellStyle name="40% - Accent2 11 5 2" xfId="28298"/>
    <cellStyle name="40% - Accent2 11 6" xfId="6179"/>
    <cellStyle name="40% - Accent2 11 6 2" xfId="28954"/>
    <cellStyle name="40% - Accent2 11 7" xfId="2899"/>
    <cellStyle name="40% - Accent2 11 7 2" xfId="25674"/>
    <cellStyle name="40% - Accent2 11 8" xfId="6835"/>
    <cellStyle name="40% - Accent2 11 8 2" xfId="29610"/>
    <cellStyle name="40% - Accent2 11 9" xfId="7491"/>
    <cellStyle name="40% - Accent2 11 9 2" xfId="30266"/>
    <cellStyle name="40% - Accent2 12" xfId="276"/>
    <cellStyle name="40% - Accent2 12 2" xfId="2571"/>
    <cellStyle name="40% - Accent2 12 2 2" xfId="25346"/>
    <cellStyle name="40% - Accent2 12 3" xfId="23050"/>
    <cellStyle name="40% - Accent2 13" xfId="931"/>
    <cellStyle name="40% - Accent2 13 2" xfId="3227"/>
    <cellStyle name="40% - Accent2 13 2 2" xfId="26002"/>
    <cellStyle name="40% - Accent2 13 3" xfId="23706"/>
    <cellStyle name="40% - Accent2 14" xfId="1587"/>
    <cellStyle name="40% - Accent2 14 2" xfId="3883"/>
    <cellStyle name="40% - Accent2 14 2 2" xfId="26658"/>
    <cellStyle name="40% - Accent2 14 3" xfId="24362"/>
    <cellStyle name="40% - Accent2 15" xfId="4539"/>
    <cellStyle name="40% - Accent2 15 2" xfId="27314"/>
    <cellStyle name="40% - Accent2 16" xfId="5195"/>
    <cellStyle name="40% - Accent2 16 2" xfId="27970"/>
    <cellStyle name="40% - Accent2 17" xfId="5851"/>
    <cellStyle name="40% - Accent2 17 2" xfId="28626"/>
    <cellStyle name="40% - Accent2 18" xfId="2243"/>
    <cellStyle name="40% - Accent2 18 2" xfId="25018"/>
    <cellStyle name="40% - Accent2 19" xfId="6507"/>
    <cellStyle name="40% - Accent2 19 2" xfId="29282"/>
    <cellStyle name="40% - Accent2 2" xfId="71"/>
    <cellStyle name="40% - Accent2 2 10" xfId="5867"/>
    <cellStyle name="40% - Accent2 2 10 2" xfId="28642"/>
    <cellStyle name="40% - Accent2 2 11" xfId="2259"/>
    <cellStyle name="40% - Accent2 2 11 2" xfId="25034"/>
    <cellStyle name="40% - Accent2 2 12" xfId="6523"/>
    <cellStyle name="40% - Accent2 2 12 2" xfId="29298"/>
    <cellStyle name="40% - Accent2 2 13" xfId="7179"/>
    <cellStyle name="40% - Accent2 2 13 2" xfId="29954"/>
    <cellStyle name="40% - Accent2 2 14" xfId="7835"/>
    <cellStyle name="40% - Accent2 2 14 2" xfId="30610"/>
    <cellStyle name="40% - Accent2 2 15" xfId="8491"/>
    <cellStyle name="40% - Accent2 2 15 2" xfId="31266"/>
    <cellStyle name="40% - Accent2 2 16" xfId="9147"/>
    <cellStyle name="40% - Accent2 2 16 2" xfId="31922"/>
    <cellStyle name="40% - Accent2 2 17" xfId="9803"/>
    <cellStyle name="40% - Accent2 2 17 2" xfId="32578"/>
    <cellStyle name="40% - Accent2 2 18" xfId="10459"/>
    <cellStyle name="40% - Accent2 2 18 2" xfId="33234"/>
    <cellStyle name="40% - Accent2 2 19" xfId="11115"/>
    <cellStyle name="40% - Accent2 2 19 2" xfId="33890"/>
    <cellStyle name="40% - Accent2 2 2" xfId="147"/>
    <cellStyle name="40% - Accent2 2 2 10" xfId="2345"/>
    <cellStyle name="40% - Accent2 2 2 10 2" xfId="25120"/>
    <cellStyle name="40% - Accent2 2 2 11" xfId="6609"/>
    <cellStyle name="40% - Accent2 2 2 11 2" xfId="29384"/>
    <cellStyle name="40% - Accent2 2 2 12" xfId="7265"/>
    <cellStyle name="40% - Accent2 2 2 12 2" xfId="30040"/>
    <cellStyle name="40% - Accent2 2 2 13" xfId="7921"/>
    <cellStyle name="40% - Accent2 2 2 13 2" xfId="30696"/>
    <cellStyle name="40% - Accent2 2 2 14" xfId="8577"/>
    <cellStyle name="40% - Accent2 2 2 14 2" xfId="31352"/>
    <cellStyle name="40% - Accent2 2 2 15" xfId="9233"/>
    <cellStyle name="40% - Accent2 2 2 15 2" xfId="32008"/>
    <cellStyle name="40% - Accent2 2 2 16" xfId="9889"/>
    <cellStyle name="40% - Accent2 2 2 16 2" xfId="32664"/>
    <cellStyle name="40% - Accent2 2 2 17" xfId="10545"/>
    <cellStyle name="40% - Accent2 2 2 17 2" xfId="33320"/>
    <cellStyle name="40% - Accent2 2 2 18" xfId="11201"/>
    <cellStyle name="40% - Accent2 2 2 18 2" xfId="33976"/>
    <cellStyle name="40% - Accent2 2 2 19" xfId="11857"/>
    <cellStyle name="40% - Accent2 2 2 19 2" xfId="34632"/>
    <cellStyle name="40% - Accent2 2 2 2" xfId="561"/>
    <cellStyle name="40% - Accent2 2 2 2 10" xfId="6794"/>
    <cellStyle name="40% - Accent2 2 2 2 10 2" xfId="29569"/>
    <cellStyle name="40% - Accent2 2 2 2 11" xfId="7450"/>
    <cellStyle name="40% - Accent2 2 2 2 11 2" xfId="30225"/>
    <cellStyle name="40% - Accent2 2 2 2 12" xfId="8106"/>
    <cellStyle name="40% - Accent2 2 2 2 12 2" xfId="30881"/>
    <cellStyle name="40% - Accent2 2 2 2 13" xfId="8762"/>
    <cellStyle name="40% - Accent2 2 2 2 13 2" xfId="31537"/>
    <cellStyle name="40% - Accent2 2 2 2 14" xfId="9418"/>
    <cellStyle name="40% - Accent2 2 2 2 14 2" xfId="32193"/>
    <cellStyle name="40% - Accent2 2 2 2 15" xfId="10074"/>
    <cellStyle name="40% - Accent2 2 2 2 15 2" xfId="32849"/>
    <cellStyle name="40% - Accent2 2 2 2 16" xfId="10730"/>
    <cellStyle name="40% - Accent2 2 2 2 16 2" xfId="33505"/>
    <cellStyle name="40% - Accent2 2 2 2 17" xfId="11386"/>
    <cellStyle name="40% - Accent2 2 2 2 17 2" xfId="34161"/>
    <cellStyle name="40% - Accent2 2 2 2 18" xfId="12042"/>
    <cellStyle name="40% - Accent2 2 2 2 18 2" xfId="34817"/>
    <cellStyle name="40% - Accent2 2 2 2 19" xfId="12698"/>
    <cellStyle name="40% - Accent2 2 2 2 19 2" xfId="35473"/>
    <cellStyle name="40% - Accent2 2 2 2 2" xfId="890"/>
    <cellStyle name="40% - Accent2 2 2 2 2 10" xfId="8434"/>
    <cellStyle name="40% - Accent2 2 2 2 2 10 2" xfId="31209"/>
    <cellStyle name="40% - Accent2 2 2 2 2 11" xfId="9090"/>
    <cellStyle name="40% - Accent2 2 2 2 2 11 2" xfId="31865"/>
    <cellStyle name="40% - Accent2 2 2 2 2 12" xfId="9746"/>
    <cellStyle name="40% - Accent2 2 2 2 2 12 2" xfId="32521"/>
    <cellStyle name="40% - Accent2 2 2 2 2 13" xfId="10402"/>
    <cellStyle name="40% - Accent2 2 2 2 2 13 2" xfId="33177"/>
    <cellStyle name="40% - Accent2 2 2 2 2 14" xfId="11058"/>
    <cellStyle name="40% - Accent2 2 2 2 2 14 2" xfId="33833"/>
    <cellStyle name="40% - Accent2 2 2 2 2 15" xfId="11714"/>
    <cellStyle name="40% - Accent2 2 2 2 2 15 2" xfId="34489"/>
    <cellStyle name="40% - Accent2 2 2 2 2 16" xfId="12370"/>
    <cellStyle name="40% - Accent2 2 2 2 2 16 2" xfId="35145"/>
    <cellStyle name="40% - Accent2 2 2 2 2 17" xfId="13026"/>
    <cellStyle name="40% - Accent2 2 2 2 2 17 2" xfId="35801"/>
    <cellStyle name="40% - Accent2 2 2 2 2 18" xfId="13682"/>
    <cellStyle name="40% - Accent2 2 2 2 2 18 2" xfId="36457"/>
    <cellStyle name="40% - Accent2 2 2 2 2 19" xfId="14338"/>
    <cellStyle name="40% - Accent2 2 2 2 2 19 2" xfId="37113"/>
    <cellStyle name="40% - Accent2 2 2 2 2 2" xfId="1546"/>
    <cellStyle name="40% - Accent2 2 2 2 2 2 2" xfId="3842"/>
    <cellStyle name="40% - Accent2 2 2 2 2 2 2 2" xfId="26617"/>
    <cellStyle name="40% - Accent2 2 2 2 2 2 3" xfId="24321"/>
    <cellStyle name="40% - Accent2 2 2 2 2 20" xfId="14994"/>
    <cellStyle name="40% - Accent2 2 2 2 2 20 2" xfId="37769"/>
    <cellStyle name="40% - Accent2 2 2 2 2 21" xfId="15650"/>
    <cellStyle name="40% - Accent2 2 2 2 2 21 2" xfId="38425"/>
    <cellStyle name="40% - Accent2 2 2 2 2 22" xfId="16306"/>
    <cellStyle name="40% - Accent2 2 2 2 2 22 2" xfId="39081"/>
    <cellStyle name="40% - Accent2 2 2 2 2 23" xfId="16962"/>
    <cellStyle name="40% - Accent2 2 2 2 2 23 2" xfId="39737"/>
    <cellStyle name="40% - Accent2 2 2 2 2 24" xfId="17618"/>
    <cellStyle name="40% - Accent2 2 2 2 2 24 2" xfId="40393"/>
    <cellStyle name="40% - Accent2 2 2 2 2 25" xfId="18274"/>
    <cellStyle name="40% - Accent2 2 2 2 2 25 2" xfId="41049"/>
    <cellStyle name="40% - Accent2 2 2 2 2 26" xfId="18930"/>
    <cellStyle name="40% - Accent2 2 2 2 2 26 2" xfId="41705"/>
    <cellStyle name="40% - Accent2 2 2 2 2 27" xfId="19586"/>
    <cellStyle name="40% - Accent2 2 2 2 2 27 2" xfId="42361"/>
    <cellStyle name="40% - Accent2 2 2 2 2 28" xfId="20242"/>
    <cellStyle name="40% - Accent2 2 2 2 2 28 2" xfId="43017"/>
    <cellStyle name="40% - Accent2 2 2 2 2 29" xfId="20898"/>
    <cellStyle name="40% - Accent2 2 2 2 2 29 2" xfId="43673"/>
    <cellStyle name="40% - Accent2 2 2 2 2 3" xfId="2202"/>
    <cellStyle name="40% - Accent2 2 2 2 2 3 2" xfId="4498"/>
    <cellStyle name="40% - Accent2 2 2 2 2 3 2 2" xfId="27273"/>
    <cellStyle name="40% - Accent2 2 2 2 2 3 3" xfId="24977"/>
    <cellStyle name="40% - Accent2 2 2 2 2 30" xfId="21554"/>
    <cellStyle name="40% - Accent2 2 2 2 2 30 2" xfId="44329"/>
    <cellStyle name="40% - Accent2 2 2 2 2 31" xfId="22210"/>
    <cellStyle name="40% - Accent2 2 2 2 2 31 2" xfId="44985"/>
    <cellStyle name="40% - Accent2 2 2 2 2 32" xfId="22866"/>
    <cellStyle name="40% - Accent2 2 2 2 2 32 2" xfId="45641"/>
    <cellStyle name="40% - Accent2 2 2 2 2 33" xfId="23665"/>
    <cellStyle name="40% - Accent2 2 2 2 2 4" xfId="5154"/>
    <cellStyle name="40% - Accent2 2 2 2 2 4 2" xfId="27929"/>
    <cellStyle name="40% - Accent2 2 2 2 2 5" xfId="5810"/>
    <cellStyle name="40% - Accent2 2 2 2 2 5 2" xfId="28585"/>
    <cellStyle name="40% - Accent2 2 2 2 2 6" xfId="6466"/>
    <cellStyle name="40% - Accent2 2 2 2 2 6 2" xfId="29241"/>
    <cellStyle name="40% - Accent2 2 2 2 2 7" xfId="3186"/>
    <cellStyle name="40% - Accent2 2 2 2 2 7 2" xfId="25961"/>
    <cellStyle name="40% - Accent2 2 2 2 2 8" xfId="7122"/>
    <cellStyle name="40% - Accent2 2 2 2 2 8 2" xfId="29897"/>
    <cellStyle name="40% - Accent2 2 2 2 2 9" xfId="7778"/>
    <cellStyle name="40% - Accent2 2 2 2 2 9 2" xfId="30553"/>
    <cellStyle name="40% - Accent2 2 2 2 20" xfId="13354"/>
    <cellStyle name="40% - Accent2 2 2 2 20 2" xfId="36129"/>
    <cellStyle name="40% - Accent2 2 2 2 21" xfId="14010"/>
    <cellStyle name="40% - Accent2 2 2 2 21 2" xfId="36785"/>
    <cellStyle name="40% - Accent2 2 2 2 22" xfId="14666"/>
    <cellStyle name="40% - Accent2 2 2 2 22 2" xfId="37441"/>
    <cellStyle name="40% - Accent2 2 2 2 23" xfId="15322"/>
    <cellStyle name="40% - Accent2 2 2 2 23 2" xfId="38097"/>
    <cellStyle name="40% - Accent2 2 2 2 24" xfId="15978"/>
    <cellStyle name="40% - Accent2 2 2 2 24 2" xfId="38753"/>
    <cellStyle name="40% - Accent2 2 2 2 25" xfId="16634"/>
    <cellStyle name="40% - Accent2 2 2 2 25 2" xfId="39409"/>
    <cellStyle name="40% - Accent2 2 2 2 26" xfId="17290"/>
    <cellStyle name="40% - Accent2 2 2 2 26 2" xfId="40065"/>
    <cellStyle name="40% - Accent2 2 2 2 27" xfId="17946"/>
    <cellStyle name="40% - Accent2 2 2 2 27 2" xfId="40721"/>
    <cellStyle name="40% - Accent2 2 2 2 28" xfId="18602"/>
    <cellStyle name="40% - Accent2 2 2 2 28 2" xfId="41377"/>
    <cellStyle name="40% - Accent2 2 2 2 29" xfId="19258"/>
    <cellStyle name="40% - Accent2 2 2 2 29 2" xfId="42033"/>
    <cellStyle name="40% - Accent2 2 2 2 3" xfId="1218"/>
    <cellStyle name="40% - Accent2 2 2 2 3 2" xfId="2858"/>
    <cellStyle name="40% - Accent2 2 2 2 3 2 2" xfId="25633"/>
    <cellStyle name="40% - Accent2 2 2 2 3 3" xfId="23993"/>
    <cellStyle name="40% - Accent2 2 2 2 30" xfId="19914"/>
    <cellStyle name="40% - Accent2 2 2 2 30 2" xfId="42689"/>
    <cellStyle name="40% - Accent2 2 2 2 31" xfId="20570"/>
    <cellStyle name="40% - Accent2 2 2 2 31 2" xfId="43345"/>
    <cellStyle name="40% - Accent2 2 2 2 32" xfId="21226"/>
    <cellStyle name="40% - Accent2 2 2 2 32 2" xfId="44001"/>
    <cellStyle name="40% - Accent2 2 2 2 33" xfId="21882"/>
    <cellStyle name="40% - Accent2 2 2 2 33 2" xfId="44657"/>
    <cellStyle name="40% - Accent2 2 2 2 34" xfId="22538"/>
    <cellStyle name="40% - Accent2 2 2 2 34 2" xfId="45313"/>
    <cellStyle name="40% - Accent2 2 2 2 35" xfId="23337"/>
    <cellStyle name="40% - Accent2 2 2 2 4" xfId="1874"/>
    <cellStyle name="40% - Accent2 2 2 2 4 2" xfId="3514"/>
    <cellStyle name="40% - Accent2 2 2 2 4 2 2" xfId="26289"/>
    <cellStyle name="40% - Accent2 2 2 2 4 3" xfId="24649"/>
    <cellStyle name="40% - Accent2 2 2 2 5" xfId="4170"/>
    <cellStyle name="40% - Accent2 2 2 2 5 2" xfId="26945"/>
    <cellStyle name="40% - Accent2 2 2 2 6" xfId="4826"/>
    <cellStyle name="40% - Accent2 2 2 2 6 2" xfId="27601"/>
    <cellStyle name="40% - Accent2 2 2 2 7" xfId="5482"/>
    <cellStyle name="40% - Accent2 2 2 2 7 2" xfId="28257"/>
    <cellStyle name="40% - Accent2 2 2 2 8" xfId="6138"/>
    <cellStyle name="40% - Accent2 2 2 2 8 2" xfId="28913"/>
    <cellStyle name="40% - Accent2 2 2 2 9" xfId="2530"/>
    <cellStyle name="40% - Accent2 2 2 2 9 2" xfId="25305"/>
    <cellStyle name="40% - Accent2 2 2 20" xfId="12513"/>
    <cellStyle name="40% - Accent2 2 2 20 2" xfId="35288"/>
    <cellStyle name="40% - Accent2 2 2 21" xfId="13169"/>
    <cellStyle name="40% - Accent2 2 2 21 2" xfId="35944"/>
    <cellStyle name="40% - Accent2 2 2 22" xfId="13825"/>
    <cellStyle name="40% - Accent2 2 2 22 2" xfId="36600"/>
    <cellStyle name="40% - Accent2 2 2 23" xfId="14481"/>
    <cellStyle name="40% - Accent2 2 2 23 2" xfId="37256"/>
    <cellStyle name="40% - Accent2 2 2 24" xfId="15137"/>
    <cellStyle name="40% - Accent2 2 2 24 2" xfId="37912"/>
    <cellStyle name="40% - Accent2 2 2 25" xfId="15793"/>
    <cellStyle name="40% - Accent2 2 2 25 2" xfId="38568"/>
    <cellStyle name="40% - Accent2 2 2 26" xfId="16449"/>
    <cellStyle name="40% - Accent2 2 2 26 2" xfId="39224"/>
    <cellStyle name="40% - Accent2 2 2 27" xfId="17105"/>
    <cellStyle name="40% - Accent2 2 2 27 2" xfId="39880"/>
    <cellStyle name="40% - Accent2 2 2 28" xfId="17761"/>
    <cellStyle name="40% - Accent2 2 2 28 2" xfId="40536"/>
    <cellStyle name="40% - Accent2 2 2 29" xfId="18417"/>
    <cellStyle name="40% - Accent2 2 2 29 2" xfId="41192"/>
    <cellStyle name="40% - Accent2 2 2 3" xfId="705"/>
    <cellStyle name="40% - Accent2 2 2 3 10" xfId="8249"/>
    <cellStyle name="40% - Accent2 2 2 3 10 2" xfId="31024"/>
    <cellStyle name="40% - Accent2 2 2 3 11" xfId="8905"/>
    <cellStyle name="40% - Accent2 2 2 3 11 2" xfId="31680"/>
    <cellStyle name="40% - Accent2 2 2 3 12" xfId="9561"/>
    <cellStyle name="40% - Accent2 2 2 3 12 2" xfId="32336"/>
    <cellStyle name="40% - Accent2 2 2 3 13" xfId="10217"/>
    <cellStyle name="40% - Accent2 2 2 3 13 2" xfId="32992"/>
    <cellStyle name="40% - Accent2 2 2 3 14" xfId="10873"/>
    <cellStyle name="40% - Accent2 2 2 3 14 2" xfId="33648"/>
    <cellStyle name="40% - Accent2 2 2 3 15" xfId="11529"/>
    <cellStyle name="40% - Accent2 2 2 3 15 2" xfId="34304"/>
    <cellStyle name="40% - Accent2 2 2 3 16" xfId="12185"/>
    <cellStyle name="40% - Accent2 2 2 3 16 2" xfId="34960"/>
    <cellStyle name="40% - Accent2 2 2 3 17" xfId="12841"/>
    <cellStyle name="40% - Accent2 2 2 3 17 2" xfId="35616"/>
    <cellStyle name="40% - Accent2 2 2 3 18" xfId="13497"/>
    <cellStyle name="40% - Accent2 2 2 3 18 2" xfId="36272"/>
    <cellStyle name="40% - Accent2 2 2 3 19" xfId="14153"/>
    <cellStyle name="40% - Accent2 2 2 3 19 2" xfId="36928"/>
    <cellStyle name="40% - Accent2 2 2 3 2" xfId="1361"/>
    <cellStyle name="40% - Accent2 2 2 3 2 2" xfId="3657"/>
    <cellStyle name="40% - Accent2 2 2 3 2 2 2" xfId="26432"/>
    <cellStyle name="40% - Accent2 2 2 3 2 3" xfId="24136"/>
    <cellStyle name="40% - Accent2 2 2 3 20" xfId="14809"/>
    <cellStyle name="40% - Accent2 2 2 3 20 2" xfId="37584"/>
    <cellStyle name="40% - Accent2 2 2 3 21" xfId="15465"/>
    <cellStyle name="40% - Accent2 2 2 3 21 2" xfId="38240"/>
    <cellStyle name="40% - Accent2 2 2 3 22" xfId="16121"/>
    <cellStyle name="40% - Accent2 2 2 3 22 2" xfId="38896"/>
    <cellStyle name="40% - Accent2 2 2 3 23" xfId="16777"/>
    <cellStyle name="40% - Accent2 2 2 3 23 2" xfId="39552"/>
    <cellStyle name="40% - Accent2 2 2 3 24" xfId="17433"/>
    <cellStyle name="40% - Accent2 2 2 3 24 2" xfId="40208"/>
    <cellStyle name="40% - Accent2 2 2 3 25" xfId="18089"/>
    <cellStyle name="40% - Accent2 2 2 3 25 2" xfId="40864"/>
    <cellStyle name="40% - Accent2 2 2 3 26" xfId="18745"/>
    <cellStyle name="40% - Accent2 2 2 3 26 2" xfId="41520"/>
    <cellStyle name="40% - Accent2 2 2 3 27" xfId="19401"/>
    <cellStyle name="40% - Accent2 2 2 3 27 2" xfId="42176"/>
    <cellStyle name="40% - Accent2 2 2 3 28" xfId="20057"/>
    <cellStyle name="40% - Accent2 2 2 3 28 2" xfId="42832"/>
    <cellStyle name="40% - Accent2 2 2 3 29" xfId="20713"/>
    <cellStyle name="40% - Accent2 2 2 3 29 2" xfId="43488"/>
    <cellStyle name="40% - Accent2 2 2 3 3" xfId="2017"/>
    <cellStyle name="40% - Accent2 2 2 3 3 2" xfId="4313"/>
    <cellStyle name="40% - Accent2 2 2 3 3 2 2" xfId="27088"/>
    <cellStyle name="40% - Accent2 2 2 3 3 3" xfId="24792"/>
    <cellStyle name="40% - Accent2 2 2 3 30" xfId="21369"/>
    <cellStyle name="40% - Accent2 2 2 3 30 2" xfId="44144"/>
    <cellStyle name="40% - Accent2 2 2 3 31" xfId="22025"/>
    <cellStyle name="40% - Accent2 2 2 3 31 2" xfId="44800"/>
    <cellStyle name="40% - Accent2 2 2 3 32" xfId="22681"/>
    <cellStyle name="40% - Accent2 2 2 3 32 2" xfId="45456"/>
    <cellStyle name="40% - Accent2 2 2 3 33" xfId="23480"/>
    <cellStyle name="40% - Accent2 2 2 3 4" xfId="4969"/>
    <cellStyle name="40% - Accent2 2 2 3 4 2" xfId="27744"/>
    <cellStyle name="40% - Accent2 2 2 3 5" xfId="5625"/>
    <cellStyle name="40% - Accent2 2 2 3 5 2" xfId="28400"/>
    <cellStyle name="40% - Accent2 2 2 3 6" xfId="6281"/>
    <cellStyle name="40% - Accent2 2 2 3 6 2" xfId="29056"/>
    <cellStyle name="40% - Accent2 2 2 3 7" xfId="3001"/>
    <cellStyle name="40% - Accent2 2 2 3 7 2" xfId="25776"/>
    <cellStyle name="40% - Accent2 2 2 3 8" xfId="6937"/>
    <cellStyle name="40% - Accent2 2 2 3 8 2" xfId="29712"/>
    <cellStyle name="40% - Accent2 2 2 3 9" xfId="7593"/>
    <cellStyle name="40% - Accent2 2 2 3 9 2" xfId="30368"/>
    <cellStyle name="40% - Accent2 2 2 30" xfId="19073"/>
    <cellStyle name="40% - Accent2 2 2 30 2" xfId="41848"/>
    <cellStyle name="40% - Accent2 2 2 31" xfId="19729"/>
    <cellStyle name="40% - Accent2 2 2 31 2" xfId="42504"/>
    <cellStyle name="40% - Accent2 2 2 32" xfId="20385"/>
    <cellStyle name="40% - Accent2 2 2 32 2" xfId="43160"/>
    <cellStyle name="40% - Accent2 2 2 33" xfId="21041"/>
    <cellStyle name="40% - Accent2 2 2 33 2" xfId="43816"/>
    <cellStyle name="40% - Accent2 2 2 34" xfId="21697"/>
    <cellStyle name="40% - Accent2 2 2 34 2" xfId="44472"/>
    <cellStyle name="40% - Accent2 2 2 35" xfId="22353"/>
    <cellStyle name="40% - Accent2 2 2 35 2" xfId="45128"/>
    <cellStyle name="40% - Accent2 2 2 36" xfId="23009"/>
    <cellStyle name="40% - Accent2 2 2 4" xfId="378"/>
    <cellStyle name="40% - Accent2 2 2 4 2" xfId="2673"/>
    <cellStyle name="40% - Accent2 2 2 4 2 2" xfId="25448"/>
    <cellStyle name="40% - Accent2 2 2 4 3" xfId="23152"/>
    <cellStyle name="40% - Accent2 2 2 5" xfId="1033"/>
    <cellStyle name="40% - Accent2 2 2 5 2" xfId="3329"/>
    <cellStyle name="40% - Accent2 2 2 5 2 2" xfId="26104"/>
    <cellStyle name="40% - Accent2 2 2 5 3" xfId="23808"/>
    <cellStyle name="40% - Accent2 2 2 6" xfId="1689"/>
    <cellStyle name="40% - Accent2 2 2 6 2" xfId="3985"/>
    <cellStyle name="40% - Accent2 2 2 6 2 2" xfId="26760"/>
    <cellStyle name="40% - Accent2 2 2 6 3" xfId="24464"/>
    <cellStyle name="40% - Accent2 2 2 7" xfId="4641"/>
    <cellStyle name="40% - Accent2 2 2 7 2" xfId="27416"/>
    <cellStyle name="40% - Accent2 2 2 8" xfId="5297"/>
    <cellStyle name="40% - Accent2 2 2 8 2" xfId="28072"/>
    <cellStyle name="40% - Accent2 2 2 9" xfId="5953"/>
    <cellStyle name="40% - Accent2 2 2 9 2" xfId="28728"/>
    <cellStyle name="40% - Accent2 2 20" xfId="11771"/>
    <cellStyle name="40% - Accent2 2 20 2" xfId="34546"/>
    <cellStyle name="40% - Accent2 2 21" xfId="12427"/>
    <cellStyle name="40% - Accent2 2 21 2" xfId="35202"/>
    <cellStyle name="40% - Accent2 2 22" xfId="13083"/>
    <cellStyle name="40% - Accent2 2 22 2" xfId="35858"/>
    <cellStyle name="40% - Accent2 2 23" xfId="13739"/>
    <cellStyle name="40% - Accent2 2 23 2" xfId="36514"/>
    <cellStyle name="40% - Accent2 2 24" xfId="14395"/>
    <cellStyle name="40% - Accent2 2 24 2" xfId="37170"/>
    <cellStyle name="40% - Accent2 2 25" xfId="15051"/>
    <cellStyle name="40% - Accent2 2 25 2" xfId="37826"/>
    <cellStyle name="40% - Accent2 2 26" xfId="15707"/>
    <cellStyle name="40% - Accent2 2 26 2" xfId="38482"/>
    <cellStyle name="40% - Accent2 2 27" xfId="16363"/>
    <cellStyle name="40% - Accent2 2 27 2" xfId="39138"/>
    <cellStyle name="40% - Accent2 2 28" xfId="17019"/>
    <cellStyle name="40% - Accent2 2 28 2" xfId="39794"/>
    <cellStyle name="40% - Accent2 2 29" xfId="17675"/>
    <cellStyle name="40% - Accent2 2 29 2" xfId="40450"/>
    <cellStyle name="40% - Accent2 2 3" xfId="477"/>
    <cellStyle name="40% - Accent2 2 3 10" xfId="6708"/>
    <cellStyle name="40% - Accent2 2 3 10 2" xfId="29483"/>
    <cellStyle name="40% - Accent2 2 3 11" xfId="7364"/>
    <cellStyle name="40% - Accent2 2 3 11 2" xfId="30139"/>
    <cellStyle name="40% - Accent2 2 3 12" xfId="8020"/>
    <cellStyle name="40% - Accent2 2 3 12 2" xfId="30795"/>
    <cellStyle name="40% - Accent2 2 3 13" xfId="8676"/>
    <cellStyle name="40% - Accent2 2 3 13 2" xfId="31451"/>
    <cellStyle name="40% - Accent2 2 3 14" xfId="9332"/>
    <cellStyle name="40% - Accent2 2 3 14 2" xfId="32107"/>
    <cellStyle name="40% - Accent2 2 3 15" xfId="9988"/>
    <cellStyle name="40% - Accent2 2 3 15 2" xfId="32763"/>
    <cellStyle name="40% - Accent2 2 3 16" xfId="10644"/>
    <cellStyle name="40% - Accent2 2 3 16 2" xfId="33419"/>
    <cellStyle name="40% - Accent2 2 3 17" xfId="11300"/>
    <cellStyle name="40% - Accent2 2 3 17 2" xfId="34075"/>
    <cellStyle name="40% - Accent2 2 3 18" xfId="11956"/>
    <cellStyle name="40% - Accent2 2 3 18 2" xfId="34731"/>
    <cellStyle name="40% - Accent2 2 3 19" xfId="12612"/>
    <cellStyle name="40% - Accent2 2 3 19 2" xfId="35387"/>
    <cellStyle name="40% - Accent2 2 3 2" xfId="804"/>
    <cellStyle name="40% - Accent2 2 3 2 10" xfId="8348"/>
    <cellStyle name="40% - Accent2 2 3 2 10 2" xfId="31123"/>
    <cellStyle name="40% - Accent2 2 3 2 11" xfId="9004"/>
    <cellStyle name="40% - Accent2 2 3 2 11 2" xfId="31779"/>
    <cellStyle name="40% - Accent2 2 3 2 12" xfId="9660"/>
    <cellStyle name="40% - Accent2 2 3 2 12 2" xfId="32435"/>
    <cellStyle name="40% - Accent2 2 3 2 13" xfId="10316"/>
    <cellStyle name="40% - Accent2 2 3 2 13 2" xfId="33091"/>
    <cellStyle name="40% - Accent2 2 3 2 14" xfId="10972"/>
    <cellStyle name="40% - Accent2 2 3 2 14 2" xfId="33747"/>
    <cellStyle name="40% - Accent2 2 3 2 15" xfId="11628"/>
    <cellStyle name="40% - Accent2 2 3 2 15 2" xfId="34403"/>
    <cellStyle name="40% - Accent2 2 3 2 16" xfId="12284"/>
    <cellStyle name="40% - Accent2 2 3 2 16 2" xfId="35059"/>
    <cellStyle name="40% - Accent2 2 3 2 17" xfId="12940"/>
    <cellStyle name="40% - Accent2 2 3 2 17 2" xfId="35715"/>
    <cellStyle name="40% - Accent2 2 3 2 18" xfId="13596"/>
    <cellStyle name="40% - Accent2 2 3 2 18 2" xfId="36371"/>
    <cellStyle name="40% - Accent2 2 3 2 19" xfId="14252"/>
    <cellStyle name="40% - Accent2 2 3 2 19 2" xfId="37027"/>
    <cellStyle name="40% - Accent2 2 3 2 2" xfId="1460"/>
    <cellStyle name="40% - Accent2 2 3 2 2 2" xfId="3756"/>
    <cellStyle name="40% - Accent2 2 3 2 2 2 2" xfId="26531"/>
    <cellStyle name="40% - Accent2 2 3 2 2 3" xfId="24235"/>
    <cellStyle name="40% - Accent2 2 3 2 20" xfId="14908"/>
    <cellStyle name="40% - Accent2 2 3 2 20 2" xfId="37683"/>
    <cellStyle name="40% - Accent2 2 3 2 21" xfId="15564"/>
    <cellStyle name="40% - Accent2 2 3 2 21 2" xfId="38339"/>
    <cellStyle name="40% - Accent2 2 3 2 22" xfId="16220"/>
    <cellStyle name="40% - Accent2 2 3 2 22 2" xfId="38995"/>
    <cellStyle name="40% - Accent2 2 3 2 23" xfId="16876"/>
    <cellStyle name="40% - Accent2 2 3 2 23 2" xfId="39651"/>
    <cellStyle name="40% - Accent2 2 3 2 24" xfId="17532"/>
    <cellStyle name="40% - Accent2 2 3 2 24 2" xfId="40307"/>
    <cellStyle name="40% - Accent2 2 3 2 25" xfId="18188"/>
    <cellStyle name="40% - Accent2 2 3 2 25 2" xfId="40963"/>
    <cellStyle name="40% - Accent2 2 3 2 26" xfId="18844"/>
    <cellStyle name="40% - Accent2 2 3 2 26 2" xfId="41619"/>
    <cellStyle name="40% - Accent2 2 3 2 27" xfId="19500"/>
    <cellStyle name="40% - Accent2 2 3 2 27 2" xfId="42275"/>
    <cellStyle name="40% - Accent2 2 3 2 28" xfId="20156"/>
    <cellStyle name="40% - Accent2 2 3 2 28 2" xfId="42931"/>
    <cellStyle name="40% - Accent2 2 3 2 29" xfId="20812"/>
    <cellStyle name="40% - Accent2 2 3 2 29 2" xfId="43587"/>
    <cellStyle name="40% - Accent2 2 3 2 3" xfId="2116"/>
    <cellStyle name="40% - Accent2 2 3 2 3 2" xfId="4412"/>
    <cellStyle name="40% - Accent2 2 3 2 3 2 2" xfId="27187"/>
    <cellStyle name="40% - Accent2 2 3 2 3 3" xfId="24891"/>
    <cellStyle name="40% - Accent2 2 3 2 30" xfId="21468"/>
    <cellStyle name="40% - Accent2 2 3 2 30 2" xfId="44243"/>
    <cellStyle name="40% - Accent2 2 3 2 31" xfId="22124"/>
    <cellStyle name="40% - Accent2 2 3 2 31 2" xfId="44899"/>
    <cellStyle name="40% - Accent2 2 3 2 32" xfId="22780"/>
    <cellStyle name="40% - Accent2 2 3 2 32 2" xfId="45555"/>
    <cellStyle name="40% - Accent2 2 3 2 33" xfId="23579"/>
    <cellStyle name="40% - Accent2 2 3 2 4" xfId="5068"/>
    <cellStyle name="40% - Accent2 2 3 2 4 2" xfId="27843"/>
    <cellStyle name="40% - Accent2 2 3 2 5" xfId="5724"/>
    <cellStyle name="40% - Accent2 2 3 2 5 2" xfId="28499"/>
    <cellStyle name="40% - Accent2 2 3 2 6" xfId="6380"/>
    <cellStyle name="40% - Accent2 2 3 2 6 2" xfId="29155"/>
    <cellStyle name="40% - Accent2 2 3 2 7" xfId="3100"/>
    <cellStyle name="40% - Accent2 2 3 2 7 2" xfId="25875"/>
    <cellStyle name="40% - Accent2 2 3 2 8" xfId="7036"/>
    <cellStyle name="40% - Accent2 2 3 2 8 2" xfId="29811"/>
    <cellStyle name="40% - Accent2 2 3 2 9" xfId="7692"/>
    <cellStyle name="40% - Accent2 2 3 2 9 2" xfId="30467"/>
    <cellStyle name="40% - Accent2 2 3 20" xfId="13268"/>
    <cellStyle name="40% - Accent2 2 3 20 2" xfId="36043"/>
    <cellStyle name="40% - Accent2 2 3 21" xfId="13924"/>
    <cellStyle name="40% - Accent2 2 3 21 2" xfId="36699"/>
    <cellStyle name="40% - Accent2 2 3 22" xfId="14580"/>
    <cellStyle name="40% - Accent2 2 3 22 2" xfId="37355"/>
    <cellStyle name="40% - Accent2 2 3 23" xfId="15236"/>
    <cellStyle name="40% - Accent2 2 3 23 2" xfId="38011"/>
    <cellStyle name="40% - Accent2 2 3 24" xfId="15892"/>
    <cellStyle name="40% - Accent2 2 3 24 2" xfId="38667"/>
    <cellStyle name="40% - Accent2 2 3 25" xfId="16548"/>
    <cellStyle name="40% - Accent2 2 3 25 2" xfId="39323"/>
    <cellStyle name="40% - Accent2 2 3 26" xfId="17204"/>
    <cellStyle name="40% - Accent2 2 3 26 2" xfId="39979"/>
    <cellStyle name="40% - Accent2 2 3 27" xfId="17860"/>
    <cellStyle name="40% - Accent2 2 3 27 2" xfId="40635"/>
    <cellStyle name="40% - Accent2 2 3 28" xfId="18516"/>
    <cellStyle name="40% - Accent2 2 3 28 2" xfId="41291"/>
    <cellStyle name="40% - Accent2 2 3 29" xfId="19172"/>
    <cellStyle name="40% - Accent2 2 3 29 2" xfId="41947"/>
    <cellStyle name="40% - Accent2 2 3 3" xfId="1132"/>
    <cellStyle name="40% - Accent2 2 3 3 2" xfId="2772"/>
    <cellStyle name="40% - Accent2 2 3 3 2 2" xfId="25547"/>
    <cellStyle name="40% - Accent2 2 3 3 3" xfId="23907"/>
    <cellStyle name="40% - Accent2 2 3 30" xfId="19828"/>
    <cellStyle name="40% - Accent2 2 3 30 2" xfId="42603"/>
    <cellStyle name="40% - Accent2 2 3 31" xfId="20484"/>
    <cellStyle name="40% - Accent2 2 3 31 2" xfId="43259"/>
    <cellStyle name="40% - Accent2 2 3 32" xfId="21140"/>
    <cellStyle name="40% - Accent2 2 3 32 2" xfId="43915"/>
    <cellStyle name="40% - Accent2 2 3 33" xfId="21796"/>
    <cellStyle name="40% - Accent2 2 3 33 2" xfId="44571"/>
    <cellStyle name="40% - Accent2 2 3 34" xfId="22452"/>
    <cellStyle name="40% - Accent2 2 3 34 2" xfId="45227"/>
    <cellStyle name="40% - Accent2 2 3 35" xfId="23251"/>
    <cellStyle name="40% - Accent2 2 3 4" xfId="1788"/>
    <cellStyle name="40% - Accent2 2 3 4 2" xfId="3428"/>
    <cellStyle name="40% - Accent2 2 3 4 2 2" xfId="26203"/>
    <cellStyle name="40% - Accent2 2 3 4 3" xfId="24563"/>
    <cellStyle name="40% - Accent2 2 3 5" xfId="4084"/>
    <cellStyle name="40% - Accent2 2 3 5 2" xfId="26859"/>
    <cellStyle name="40% - Accent2 2 3 6" xfId="4740"/>
    <cellStyle name="40% - Accent2 2 3 6 2" xfId="27515"/>
    <cellStyle name="40% - Accent2 2 3 7" xfId="5396"/>
    <cellStyle name="40% - Accent2 2 3 7 2" xfId="28171"/>
    <cellStyle name="40% - Accent2 2 3 8" xfId="6052"/>
    <cellStyle name="40% - Accent2 2 3 8 2" xfId="28827"/>
    <cellStyle name="40% - Accent2 2 3 9" xfId="2444"/>
    <cellStyle name="40% - Accent2 2 3 9 2" xfId="25219"/>
    <cellStyle name="40% - Accent2 2 30" xfId="18331"/>
    <cellStyle name="40% - Accent2 2 30 2" xfId="41106"/>
    <cellStyle name="40% - Accent2 2 31" xfId="18987"/>
    <cellStyle name="40% - Accent2 2 31 2" xfId="41762"/>
    <cellStyle name="40% - Accent2 2 32" xfId="19643"/>
    <cellStyle name="40% - Accent2 2 32 2" xfId="42418"/>
    <cellStyle name="40% - Accent2 2 33" xfId="20299"/>
    <cellStyle name="40% - Accent2 2 33 2" xfId="43074"/>
    <cellStyle name="40% - Accent2 2 34" xfId="20955"/>
    <cellStyle name="40% - Accent2 2 34 2" xfId="43730"/>
    <cellStyle name="40% - Accent2 2 35" xfId="21611"/>
    <cellStyle name="40% - Accent2 2 35 2" xfId="44386"/>
    <cellStyle name="40% - Accent2 2 36" xfId="22267"/>
    <cellStyle name="40% - Accent2 2 36 2" xfId="45042"/>
    <cellStyle name="40% - Accent2 2 37" xfId="206"/>
    <cellStyle name="40% - Accent2 2 38" xfId="22923"/>
    <cellStyle name="40% - Accent2 2 4" xfId="619"/>
    <cellStyle name="40% - Accent2 2 4 10" xfId="8163"/>
    <cellStyle name="40% - Accent2 2 4 10 2" xfId="30938"/>
    <cellStyle name="40% - Accent2 2 4 11" xfId="8819"/>
    <cellStyle name="40% - Accent2 2 4 11 2" xfId="31594"/>
    <cellStyle name="40% - Accent2 2 4 12" xfId="9475"/>
    <cellStyle name="40% - Accent2 2 4 12 2" xfId="32250"/>
    <cellStyle name="40% - Accent2 2 4 13" xfId="10131"/>
    <cellStyle name="40% - Accent2 2 4 13 2" xfId="32906"/>
    <cellStyle name="40% - Accent2 2 4 14" xfId="10787"/>
    <cellStyle name="40% - Accent2 2 4 14 2" xfId="33562"/>
    <cellStyle name="40% - Accent2 2 4 15" xfId="11443"/>
    <cellStyle name="40% - Accent2 2 4 15 2" xfId="34218"/>
    <cellStyle name="40% - Accent2 2 4 16" xfId="12099"/>
    <cellStyle name="40% - Accent2 2 4 16 2" xfId="34874"/>
    <cellStyle name="40% - Accent2 2 4 17" xfId="12755"/>
    <cellStyle name="40% - Accent2 2 4 17 2" xfId="35530"/>
    <cellStyle name="40% - Accent2 2 4 18" xfId="13411"/>
    <cellStyle name="40% - Accent2 2 4 18 2" xfId="36186"/>
    <cellStyle name="40% - Accent2 2 4 19" xfId="14067"/>
    <cellStyle name="40% - Accent2 2 4 19 2" xfId="36842"/>
    <cellStyle name="40% - Accent2 2 4 2" xfId="1275"/>
    <cellStyle name="40% - Accent2 2 4 2 2" xfId="3571"/>
    <cellStyle name="40% - Accent2 2 4 2 2 2" xfId="26346"/>
    <cellStyle name="40% - Accent2 2 4 2 3" xfId="24050"/>
    <cellStyle name="40% - Accent2 2 4 20" xfId="14723"/>
    <cellStyle name="40% - Accent2 2 4 20 2" xfId="37498"/>
    <cellStyle name="40% - Accent2 2 4 21" xfId="15379"/>
    <cellStyle name="40% - Accent2 2 4 21 2" xfId="38154"/>
    <cellStyle name="40% - Accent2 2 4 22" xfId="16035"/>
    <cellStyle name="40% - Accent2 2 4 22 2" xfId="38810"/>
    <cellStyle name="40% - Accent2 2 4 23" xfId="16691"/>
    <cellStyle name="40% - Accent2 2 4 23 2" xfId="39466"/>
    <cellStyle name="40% - Accent2 2 4 24" xfId="17347"/>
    <cellStyle name="40% - Accent2 2 4 24 2" xfId="40122"/>
    <cellStyle name="40% - Accent2 2 4 25" xfId="18003"/>
    <cellStyle name="40% - Accent2 2 4 25 2" xfId="40778"/>
    <cellStyle name="40% - Accent2 2 4 26" xfId="18659"/>
    <cellStyle name="40% - Accent2 2 4 26 2" xfId="41434"/>
    <cellStyle name="40% - Accent2 2 4 27" xfId="19315"/>
    <cellStyle name="40% - Accent2 2 4 27 2" xfId="42090"/>
    <cellStyle name="40% - Accent2 2 4 28" xfId="19971"/>
    <cellStyle name="40% - Accent2 2 4 28 2" xfId="42746"/>
    <cellStyle name="40% - Accent2 2 4 29" xfId="20627"/>
    <cellStyle name="40% - Accent2 2 4 29 2" xfId="43402"/>
    <cellStyle name="40% - Accent2 2 4 3" xfId="1931"/>
    <cellStyle name="40% - Accent2 2 4 3 2" xfId="4227"/>
    <cellStyle name="40% - Accent2 2 4 3 2 2" xfId="27002"/>
    <cellStyle name="40% - Accent2 2 4 3 3" xfId="24706"/>
    <cellStyle name="40% - Accent2 2 4 30" xfId="21283"/>
    <cellStyle name="40% - Accent2 2 4 30 2" xfId="44058"/>
    <cellStyle name="40% - Accent2 2 4 31" xfId="21939"/>
    <cellStyle name="40% - Accent2 2 4 31 2" xfId="44714"/>
    <cellStyle name="40% - Accent2 2 4 32" xfId="22595"/>
    <cellStyle name="40% - Accent2 2 4 32 2" xfId="45370"/>
    <cellStyle name="40% - Accent2 2 4 33" xfId="23394"/>
    <cellStyle name="40% - Accent2 2 4 4" xfId="4883"/>
    <cellStyle name="40% - Accent2 2 4 4 2" xfId="27658"/>
    <cellStyle name="40% - Accent2 2 4 5" xfId="5539"/>
    <cellStyle name="40% - Accent2 2 4 5 2" xfId="28314"/>
    <cellStyle name="40% - Accent2 2 4 6" xfId="6195"/>
    <cellStyle name="40% - Accent2 2 4 6 2" xfId="28970"/>
    <cellStyle name="40% - Accent2 2 4 7" xfId="2915"/>
    <cellStyle name="40% - Accent2 2 4 7 2" xfId="25690"/>
    <cellStyle name="40% - Accent2 2 4 8" xfId="6851"/>
    <cellStyle name="40% - Accent2 2 4 8 2" xfId="29626"/>
    <cellStyle name="40% - Accent2 2 4 9" xfId="7507"/>
    <cellStyle name="40% - Accent2 2 4 9 2" xfId="30282"/>
    <cellStyle name="40% - Accent2 2 5" xfId="292"/>
    <cellStyle name="40% - Accent2 2 5 2" xfId="2587"/>
    <cellStyle name="40% - Accent2 2 5 2 2" xfId="25362"/>
    <cellStyle name="40% - Accent2 2 5 3" xfId="23066"/>
    <cellStyle name="40% - Accent2 2 6" xfId="947"/>
    <cellStyle name="40% - Accent2 2 6 2" xfId="3243"/>
    <cellStyle name="40% - Accent2 2 6 2 2" xfId="26018"/>
    <cellStyle name="40% - Accent2 2 6 3" xfId="23722"/>
    <cellStyle name="40% - Accent2 2 7" xfId="1603"/>
    <cellStyle name="40% - Accent2 2 7 2" xfId="3899"/>
    <cellStyle name="40% - Accent2 2 7 2 2" xfId="26674"/>
    <cellStyle name="40% - Accent2 2 7 3" xfId="24378"/>
    <cellStyle name="40% - Accent2 2 8" xfId="4555"/>
    <cellStyle name="40% - Accent2 2 8 2" xfId="27330"/>
    <cellStyle name="40% - Accent2 2 9" xfId="5211"/>
    <cellStyle name="40% - Accent2 2 9 2" xfId="27986"/>
    <cellStyle name="40% - Accent2 20" xfId="7163"/>
    <cellStyle name="40% - Accent2 20 2" xfId="29938"/>
    <cellStyle name="40% - Accent2 21" xfId="7819"/>
    <cellStyle name="40% - Accent2 21 2" xfId="30594"/>
    <cellStyle name="40% - Accent2 22" xfId="8475"/>
    <cellStyle name="40% - Accent2 22 2" xfId="31250"/>
    <cellStyle name="40% - Accent2 23" xfId="9131"/>
    <cellStyle name="40% - Accent2 23 2" xfId="31906"/>
    <cellStyle name="40% - Accent2 24" xfId="9787"/>
    <cellStyle name="40% - Accent2 24 2" xfId="32562"/>
    <cellStyle name="40% - Accent2 25" xfId="10443"/>
    <cellStyle name="40% - Accent2 25 2" xfId="33218"/>
    <cellStyle name="40% - Accent2 26" xfId="11099"/>
    <cellStyle name="40% - Accent2 26 2" xfId="33874"/>
    <cellStyle name="40% - Accent2 27" xfId="11755"/>
    <cellStyle name="40% - Accent2 27 2" xfId="34530"/>
    <cellStyle name="40% - Accent2 28" xfId="12411"/>
    <cellStyle name="40% - Accent2 28 2" xfId="35186"/>
    <cellStyle name="40% - Accent2 29" xfId="13067"/>
    <cellStyle name="40% - Accent2 29 2" xfId="35842"/>
    <cellStyle name="40% - Accent2 3" xfId="55"/>
    <cellStyle name="40% - Accent2 3 10" xfId="5882"/>
    <cellStyle name="40% - Accent2 3 10 2" xfId="28657"/>
    <cellStyle name="40% - Accent2 3 11" xfId="2274"/>
    <cellStyle name="40% - Accent2 3 11 2" xfId="25049"/>
    <cellStyle name="40% - Accent2 3 12" xfId="6538"/>
    <cellStyle name="40% - Accent2 3 12 2" xfId="29313"/>
    <cellStyle name="40% - Accent2 3 13" xfId="7194"/>
    <cellStyle name="40% - Accent2 3 13 2" xfId="29969"/>
    <cellStyle name="40% - Accent2 3 14" xfId="7850"/>
    <cellStyle name="40% - Accent2 3 14 2" xfId="30625"/>
    <cellStyle name="40% - Accent2 3 15" xfId="8506"/>
    <cellStyle name="40% - Accent2 3 15 2" xfId="31281"/>
    <cellStyle name="40% - Accent2 3 16" xfId="9162"/>
    <cellStyle name="40% - Accent2 3 16 2" xfId="31937"/>
    <cellStyle name="40% - Accent2 3 17" xfId="9818"/>
    <cellStyle name="40% - Accent2 3 17 2" xfId="32593"/>
    <cellStyle name="40% - Accent2 3 18" xfId="10474"/>
    <cellStyle name="40% - Accent2 3 18 2" xfId="33249"/>
    <cellStyle name="40% - Accent2 3 19" xfId="11130"/>
    <cellStyle name="40% - Accent2 3 19 2" xfId="33905"/>
    <cellStyle name="40% - Accent2 3 2" xfId="133"/>
    <cellStyle name="40% - Accent2 3 2 10" xfId="2329"/>
    <cellStyle name="40% - Accent2 3 2 10 2" xfId="25104"/>
    <cellStyle name="40% - Accent2 3 2 11" xfId="6593"/>
    <cellStyle name="40% - Accent2 3 2 11 2" xfId="29368"/>
    <cellStyle name="40% - Accent2 3 2 12" xfId="7249"/>
    <cellStyle name="40% - Accent2 3 2 12 2" xfId="30024"/>
    <cellStyle name="40% - Accent2 3 2 13" xfId="7905"/>
    <cellStyle name="40% - Accent2 3 2 13 2" xfId="30680"/>
    <cellStyle name="40% - Accent2 3 2 14" xfId="8561"/>
    <cellStyle name="40% - Accent2 3 2 14 2" xfId="31336"/>
    <cellStyle name="40% - Accent2 3 2 15" xfId="9217"/>
    <cellStyle name="40% - Accent2 3 2 15 2" xfId="31992"/>
    <cellStyle name="40% - Accent2 3 2 16" xfId="9873"/>
    <cellStyle name="40% - Accent2 3 2 16 2" xfId="32648"/>
    <cellStyle name="40% - Accent2 3 2 17" xfId="10529"/>
    <cellStyle name="40% - Accent2 3 2 17 2" xfId="33304"/>
    <cellStyle name="40% - Accent2 3 2 18" xfId="11185"/>
    <cellStyle name="40% - Accent2 3 2 18 2" xfId="33960"/>
    <cellStyle name="40% - Accent2 3 2 19" xfId="11841"/>
    <cellStyle name="40% - Accent2 3 2 19 2" xfId="34616"/>
    <cellStyle name="40% - Accent2 3 2 2" xfId="545"/>
    <cellStyle name="40% - Accent2 3 2 2 10" xfId="6778"/>
    <cellStyle name="40% - Accent2 3 2 2 10 2" xfId="29553"/>
    <cellStyle name="40% - Accent2 3 2 2 11" xfId="7434"/>
    <cellStyle name="40% - Accent2 3 2 2 11 2" xfId="30209"/>
    <cellStyle name="40% - Accent2 3 2 2 12" xfId="8090"/>
    <cellStyle name="40% - Accent2 3 2 2 12 2" xfId="30865"/>
    <cellStyle name="40% - Accent2 3 2 2 13" xfId="8746"/>
    <cellStyle name="40% - Accent2 3 2 2 13 2" xfId="31521"/>
    <cellStyle name="40% - Accent2 3 2 2 14" xfId="9402"/>
    <cellStyle name="40% - Accent2 3 2 2 14 2" xfId="32177"/>
    <cellStyle name="40% - Accent2 3 2 2 15" xfId="10058"/>
    <cellStyle name="40% - Accent2 3 2 2 15 2" xfId="32833"/>
    <cellStyle name="40% - Accent2 3 2 2 16" xfId="10714"/>
    <cellStyle name="40% - Accent2 3 2 2 16 2" xfId="33489"/>
    <cellStyle name="40% - Accent2 3 2 2 17" xfId="11370"/>
    <cellStyle name="40% - Accent2 3 2 2 17 2" xfId="34145"/>
    <cellStyle name="40% - Accent2 3 2 2 18" xfId="12026"/>
    <cellStyle name="40% - Accent2 3 2 2 18 2" xfId="34801"/>
    <cellStyle name="40% - Accent2 3 2 2 19" xfId="12682"/>
    <cellStyle name="40% - Accent2 3 2 2 19 2" xfId="35457"/>
    <cellStyle name="40% - Accent2 3 2 2 2" xfId="874"/>
    <cellStyle name="40% - Accent2 3 2 2 2 10" xfId="8418"/>
    <cellStyle name="40% - Accent2 3 2 2 2 10 2" xfId="31193"/>
    <cellStyle name="40% - Accent2 3 2 2 2 11" xfId="9074"/>
    <cellStyle name="40% - Accent2 3 2 2 2 11 2" xfId="31849"/>
    <cellStyle name="40% - Accent2 3 2 2 2 12" xfId="9730"/>
    <cellStyle name="40% - Accent2 3 2 2 2 12 2" xfId="32505"/>
    <cellStyle name="40% - Accent2 3 2 2 2 13" xfId="10386"/>
    <cellStyle name="40% - Accent2 3 2 2 2 13 2" xfId="33161"/>
    <cellStyle name="40% - Accent2 3 2 2 2 14" xfId="11042"/>
    <cellStyle name="40% - Accent2 3 2 2 2 14 2" xfId="33817"/>
    <cellStyle name="40% - Accent2 3 2 2 2 15" xfId="11698"/>
    <cellStyle name="40% - Accent2 3 2 2 2 15 2" xfId="34473"/>
    <cellStyle name="40% - Accent2 3 2 2 2 16" xfId="12354"/>
    <cellStyle name="40% - Accent2 3 2 2 2 16 2" xfId="35129"/>
    <cellStyle name="40% - Accent2 3 2 2 2 17" xfId="13010"/>
    <cellStyle name="40% - Accent2 3 2 2 2 17 2" xfId="35785"/>
    <cellStyle name="40% - Accent2 3 2 2 2 18" xfId="13666"/>
    <cellStyle name="40% - Accent2 3 2 2 2 18 2" xfId="36441"/>
    <cellStyle name="40% - Accent2 3 2 2 2 19" xfId="14322"/>
    <cellStyle name="40% - Accent2 3 2 2 2 19 2" xfId="37097"/>
    <cellStyle name="40% - Accent2 3 2 2 2 2" xfId="1530"/>
    <cellStyle name="40% - Accent2 3 2 2 2 2 2" xfId="3826"/>
    <cellStyle name="40% - Accent2 3 2 2 2 2 2 2" xfId="26601"/>
    <cellStyle name="40% - Accent2 3 2 2 2 2 3" xfId="24305"/>
    <cellStyle name="40% - Accent2 3 2 2 2 20" xfId="14978"/>
    <cellStyle name="40% - Accent2 3 2 2 2 20 2" xfId="37753"/>
    <cellStyle name="40% - Accent2 3 2 2 2 21" xfId="15634"/>
    <cellStyle name="40% - Accent2 3 2 2 2 21 2" xfId="38409"/>
    <cellStyle name="40% - Accent2 3 2 2 2 22" xfId="16290"/>
    <cellStyle name="40% - Accent2 3 2 2 2 22 2" xfId="39065"/>
    <cellStyle name="40% - Accent2 3 2 2 2 23" xfId="16946"/>
    <cellStyle name="40% - Accent2 3 2 2 2 23 2" xfId="39721"/>
    <cellStyle name="40% - Accent2 3 2 2 2 24" xfId="17602"/>
    <cellStyle name="40% - Accent2 3 2 2 2 24 2" xfId="40377"/>
    <cellStyle name="40% - Accent2 3 2 2 2 25" xfId="18258"/>
    <cellStyle name="40% - Accent2 3 2 2 2 25 2" xfId="41033"/>
    <cellStyle name="40% - Accent2 3 2 2 2 26" xfId="18914"/>
    <cellStyle name="40% - Accent2 3 2 2 2 26 2" xfId="41689"/>
    <cellStyle name="40% - Accent2 3 2 2 2 27" xfId="19570"/>
    <cellStyle name="40% - Accent2 3 2 2 2 27 2" xfId="42345"/>
    <cellStyle name="40% - Accent2 3 2 2 2 28" xfId="20226"/>
    <cellStyle name="40% - Accent2 3 2 2 2 28 2" xfId="43001"/>
    <cellStyle name="40% - Accent2 3 2 2 2 29" xfId="20882"/>
    <cellStyle name="40% - Accent2 3 2 2 2 29 2" xfId="43657"/>
    <cellStyle name="40% - Accent2 3 2 2 2 3" xfId="2186"/>
    <cellStyle name="40% - Accent2 3 2 2 2 3 2" xfId="4482"/>
    <cellStyle name="40% - Accent2 3 2 2 2 3 2 2" xfId="27257"/>
    <cellStyle name="40% - Accent2 3 2 2 2 3 3" xfId="24961"/>
    <cellStyle name="40% - Accent2 3 2 2 2 30" xfId="21538"/>
    <cellStyle name="40% - Accent2 3 2 2 2 30 2" xfId="44313"/>
    <cellStyle name="40% - Accent2 3 2 2 2 31" xfId="22194"/>
    <cellStyle name="40% - Accent2 3 2 2 2 31 2" xfId="44969"/>
    <cellStyle name="40% - Accent2 3 2 2 2 32" xfId="22850"/>
    <cellStyle name="40% - Accent2 3 2 2 2 32 2" xfId="45625"/>
    <cellStyle name="40% - Accent2 3 2 2 2 33" xfId="23649"/>
    <cellStyle name="40% - Accent2 3 2 2 2 4" xfId="5138"/>
    <cellStyle name="40% - Accent2 3 2 2 2 4 2" xfId="27913"/>
    <cellStyle name="40% - Accent2 3 2 2 2 5" xfId="5794"/>
    <cellStyle name="40% - Accent2 3 2 2 2 5 2" xfId="28569"/>
    <cellStyle name="40% - Accent2 3 2 2 2 6" xfId="6450"/>
    <cellStyle name="40% - Accent2 3 2 2 2 6 2" xfId="29225"/>
    <cellStyle name="40% - Accent2 3 2 2 2 7" xfId="3170"/>
    <cellStyle name="40% - Accent2 3 2 2 2 7 2" xfId="25945"/>
    <cellStyle name="40% - Accent2 3 2 2 2 8" xfId="7106"/>
    <cellStyle name="40% - Accent2 3 2 2 2 8 2" xfId="29881"/>
    <cellStyle name="40% - Accent2 3 2 2 2 9" xfId="7762"/>
    <cellStyle name="40% - Accent2 3 2 2 2 9 2" xfId="30537"/>
    <cellStyle name="40% - Accent2 3 2 2 20" xfId="13338"/>
    <cellStyle name="40% - Accent2 3 2 2 20 2" xfId="36113"/>
    <cellStyle name="40% - Accent2 3 2 2 21" xfId="13994"/>
    <cellStyle name="40% - Accent2 3 2 2 21 2" xfId="36769"/>
    <cellStyle name="40% - Accent2 3 2 2 22" xfId="14650"/>
    <cellStyle name="40% - Accent2 3 2 2 22 2" xfId="37425"/>
    <cellStyle name="40% - Accent2 3 2 2 23" xfId="15306"/>
    <cellStyle name="40% - Accent2 3 2 2 23 2" xfId="38081"/>
    <cellStyle name="40% - Accent2 3 2 2 24" xfId="15962"/>
    <cellStyle name="40% - Accent2 3 2 2 24 2" xfId="38737"/>
    <cellStyle name="40% - Accent2 3 2 2 25" xfId="16618"/>
    <cellStyle name="40% - Accent2 3 2 2 25 2" xfId="39393"/>
    <cellStyle name="40% - Accent2 3 2 2 26" xfId="17274"/>
    <cellStyle name="40% - Accent2 3 2 2 26 2" xfId="40049"/>
    <cellStyle name="40% - Accent2 3 2 2 27" xfId="17930"/>
    <cellStyle name="40% - Accent2 3 2 2 27 2" xfId="40705"/>
    <cellStyle name="40% - Accent2 3 2 2 28" xfId="18586"/>
    <cellStyle name="40% - Accent2 3 2 2 28 2" xfId="41361"/>
    <cellStyle name="40% - Accent2 3 2 2 29" xfId="19242"/>
    <cellStyle name="40% - Accent2 3 2 2 29 2" xfId="42017"/>
    <cellStyle name="40% - Accent2 3 2 2 3" xfId="1202"/>
    <cellStyle name="40% - Accent2 3 2 2 3 2" xfId="2842"/>
    <cellStyle name="40% - Accent2 3 2 2 3 2 2" xfId="25617"/>
    <cellStyle name="40% - Accent2 3 2 2 3 3" xfId="23977"/>
    <cellStyle name="40% - Accent2 3 2 2 30" xfId="19898"/>
    <cellStyle name="40% - Accent2 3 2 2 30 2" xfId="42673"/>
    <cellStyle name="40% - Accent2 3 2 2 31" xfId="20554"/>
    <cellStyle name="40% - Accent2 3 2 2 31 2" xfId="43329"/>
    <cellStyle name="40% - Accent2 3 2 2 32" xfId="21210"/>
    <cellStyle name="40% - Accent2 3 2 2 32 2" xfId="43985"/>
    <cellStyle name="40% - Accent2 3 2 2 33" xfId="21866"/>
    <cellStyle name="40% - Accent2 3 2 2 33 2" xfId="44641"/>
    <cellStyle name="40% - Accent2 3 2 2 34" xfId="22522"/>
    <cellStyle name="40% - Accent2 3 2 2 34 2" xfId="45297"/>
    <cellStyle name="40% - Accent2 3 2 2 35" xfId="23321"/>
    <cellStyle name="40% - Accent2 3 2 2 4" xfId="1858"/>
    <cellStyle name="40% - Accent2 3 2 2 4 2" xfId="3498"/>
    <cellStyle name="40% - Accent2 3 2 2 4 2 2" xfId="26273"/>
    <cellStyle name="40% - Accent2 3 2 2 4 3" xfId="24633"/>
    <cellStyle name="40% - Accent2 3 2 2 5" xfId="4154"/>
    <cellStyle name="40% - Accent2 3 2 2 5 2" xfId="26929"/>
    <cellStyle name="40% - Accent2 3 2 2 6" xfId="4810"/>
    <cellStyle name="40% - Accent2 3 2 2 6 2" xfId="27585"/>
    <cellStyle name="40% - Accent2 3 2 2 7" xfId="5466"/>
    <cellStyle name="40% - Accent2 3 2 2 7 2" xfId="28241"/>
    <cellStyle name="40% - Accent2 3 2 2 8" xfId="6122"/>
    <cellStyle name="40% - Accent2 3 2 2 8 2" xfId="28897"/>
    <cellStyle name="40% - Accent2 3 2 2 9" xfId="2514"/>
    <cellStyle name="40% - Accent2 3 2 2 9 2" xfId="25289"/>
    <cellStyle name="40% - Accent2 3 2 20" xfId="12497"/>
    <cellStyle name="40% - Accent2 3 2 20 2" xfId="35272"/>
    <cellStyle name="40% - Accent2 3 2 21" xfId="13153"/>
    <cellStyle name="40% - Accent2 3 2 21 2" xfId="35928"/>
    <cellStyle name="40% - Accent2 3 2 22" xfId="13809"/>
    <cellStyle name="40% - Accent2 3 2 22 2" xfId="36584"/>
    <cellStyle name="40% - Accent2 3 2 23" xfId="14465"/>
    <cellStyle name="40% - Accent2 3 2 23 2" xfId="37240"/>
    <cellStyle name="40% - Accent2 3 2 24" xfId="15121"/>
    <cellStyle name="40% - Accent2 3 2 24 2" xfId="37896"/>
    <cellStyle name="40% - Accent2 3 2 25" xfId="15777"/>
    <cellStyle name="40% - Accent2 3 2 25 2" xfId="38552"/>
    <cellStyle name="40% - Accent2 3 2 26" xfId="16433"/>
    <cellStyle name="40% - Accent2 3 2 26 2" xfId="39208"/>
    <cellStyle name="40% - Accent2 3 2 27" xfId="17089"/>
    <cellStyle name="40% - Accent2 3 2 27 2" xfId="39864"/>
    <cellStyle name="40% - Accent2 3 2 28" xfId="17745"/>
    <cellStyle name="40% - Accent2 3 2 28 2" xfId="40520"/>
    <cellStyle name="40% - Accent2 3 2 29" xfId="18401"/>
    <cellStyle name="40% - Accent2 3 2 29 2" xfId="41176"/>
    <cellStyle name="40% - Accent2 3 2 3" xfId="689"/>
    <cellStyle name="40% - Accent2 3 2 3 10" xfId="8233"/>
    <cellStyle name="40% - Accent2 3 2 3 10 2" xfId="31008"/>
    <cellStyle name="40% - Accent2 3 2 3 11" xfId="8889"/>
    <cellStyle name="40% - Accent2 3 2 3 11 2" xfId="31664"/>
    <cellStyle name="40% - Accent2 3 2 3 12" xfId="9545"/>
    <cellStyle name="40% - Accent2 3 2 3 12 2" xfId="32320"/>
    <cellStyle name="40% - Accent2 3 2 3 13" xfId="10201"/>
    <cellStyle name="40% - Accent2 3 2 3 13 2" xfId="32976"/>
    <cellStyle name="40% - Accent2 3 2 3 14" xfId="10857"/>
    <cellStyle name="40% - Accent2 3 2 3 14 2" xfId="33632"/>
    <cellStyle name="40% - Accent2 3 2 3 15" xfId="11513"/>
    <cellStyle name="40% - Accent2 3 2 3 15 2" xfId="34288"/>
    <cellStyle name="40% - Accent2 3 2 3 16" xfId="12169"/>
    <cellStyle name="40% - Accent2 3 2 3 16 2" xfId="34944"/>
    <cellStyle name="40% - Accent2 3 2 3 17" xfId="12825"/>
    <cellStyle name="40% - Accent2 3 2 3 17 2" xfId="35600"/>
    <cellStyle name="40% - Accent2 3 2 3 18" xfId="13481"/>
    <cellStyle name="40% - Accent2 3 2 3 18 2" xfId="36256"/>
    <cellStyle name="40% - Accent2 3 2 3 19" xfId="14137"/>
    <cellStyle name="40% - Accent2 3 2 3 19 2" xfId="36912"/>
    <cellStyle name="40% - Accent2 3 2 3 2" xfId="1345"/>
    <cellStyle name="40% - Accent2 3 2 3 2 2" xfId="3641"/>
    <cellStyle name="40% - Accent2 3 2 3 2 2 2" xfId="26416"/>
    <cellStyle name="40% - Accent2 3 2 3 2 3" xfId="24120"/>
    <cellStyle name="40% - Accent2 3 2 3 20" xfId="14793"/>
    <cellStyle name="40% - Accent2 3 2 3 20 2" xfId="37568"/>
    <cellStyle name="40% - Accent2 3 2 3 21" xfId="15449"/>
    <cellStyle name="40% - Accent2 3 2 3 21 2" xfId="38224"/>
    <cellStyle name="40% - Accent2 3 2 3 22" xfId="16105"/>
    <cellStyle name="40% - Accent2 3 2 3 22 2" xfId="38880"/>
    <cellStyle name="40% - Accent2 3 2 3 23" xfId="16761"/>
    <cellStyle name="40% - Accent2 3 2 3 23 2" xfId="39536"/>
    <cellStyle name="40% - Accent2 3 2 3 24" xfId="17417"/>
    <cellStyle name="40% - Accent2 3 2 3 24 2" xfId="40192"/>
    <cellStyle name="40% - Accent2 3 2 3 25" xfId="18073"/>
    <cellStyle name="40% - Accent2 3 2 3 25 2" xfId="40848"/>
    <cellStyle name="40% - Accent2 3 2 3 26" xfId="18729"/>
    <cellStyle name="40% - Accent2 3 2 3 26 2" xfId="41504"/>
    <cellStyle name="40% - Accent2 3 2 3 27" xfId="19385"/>
    <cellStyle name="40% - Accent2 3 2 3 27 2" xfId="42160"/>
    <cellStyle name="40% - Accent2 3 2 3 28" xfId="20041"/>
    <cellStyle name="40% - Accent2 3 2 3 28 2" xfId="42816"/>
    <cellStyle name="40% - Accent2 3 2 3 29" xfId="20697"/>
    <cellStyle name="40% - Accent2 3 2 3 29 2" xfId="43472"/>
    <cellStyle name="40% - Accent2 3 2 3 3" xfId="2001"/>
    <cellStyle name="40% - Accent2 3 2 3 3 2" xfId="4297"/>
    <cellStyle name="40% - Accent2 3 2 3 3 2 2" xfId="27072"/>
    <cellStyle name="40% - Accent2 3 2 3 3 3" xfId="24776"/>
    <cellStyle name="40% - Accent2 3 2 3 30" xfId="21353"/>
    <cellStyle name="40% - Accent2 3 2 3 30 2" xfId="44128"/>
    <cellStyle name="40% - Accent2 3 2 3 31" xfId="22009"/>
    <cellStyle name="40% - Accent2 3 2 3 31 2" xfId="44784"/>
    <cellStyle name="40% - Accent2 3 2 3 32" xfId="22665"/>
    <cellStyle name="40% - Accent2 3 2 3 32 2" xfId="45440"/>
    <cellStyle name="40% - Accent2 3 2 3 33" xfId="23464"/>
    <cellStyle name="40% - Accent2 3 2 3 4" xfId="4953"/>
    <cellStyle name="40% - Accent2 3 2 3 4 2" xfId="27728"/>
    <cellStyle name="40% - Accent2 3 2 3 5" xfId="5609"/>
    <cellStyle name="40% - Accent2 3 2 3 5 2" xfId="28384"/>
    <cellStyle name="40% - Accent2 3 2 3 6" xfId="6265"/>
    <cellStyle name="40% - Accent2 3 2 3 6 2" xfId="29040"/>
    <cellStyle name="40% - Accent2 3 2 3 7" xfId="2985"/>
    <cellStyle name="40% - Accent2 3 2 3 7 2" xfId="25760"/>
    <cellStyle name="40% - Accent2 3 2 3 8" xfId="6921"/>
    <cellStyle name="40% - Accent2 3 2 3 8 2" xfId="29696"/>
    <cellStyle name="40% - Accent2 3 2 3 9" xfId="7577"/>
    <cellStyle name="40% - Accent2 3 2 3 9 2" xfId="30352"/>
    <cellStyle name="40% - Accent2 3 2 30" xfId="19057"/>
    <cellStyle name="40% - Accent2 3 2 30 2" xfId="41832"/>
    <cellStyle name="40% - Accent2 3 2 31" xfId="19713"/>
    <cellStyle name="40% - Accent2 3 2 31 2" xfId="42488"/>
    <cellStyle name="40% - Accent2 3 2 32" xfId="20369"/>
    <cellStyle name="40% - Accent2 3 2 32 2" xfId="43144"/>
    <cellStyle name="40% - Accent2 3 2 33" xfId="21025"/>
    <cellStyle name="40% - Accent2 3 2 33 2" xfId="43800"/>
    <cellStyle name="40% - Accent2 3 2 34" xfId="21681"/>
    <cellStyle name="40% - Accent2 3 2 34 2" xfId="44456"/>
    <cellStyle name="40% - Accent2 3 2 35" xfId="22337"/>
    <cellStyle name="40% - Accent2 3 2 35 2" xfId="45112"/>
    <cellStyle name="40% - Accent2 3 2 36" xfId="22993"/>
    <cellStyle name="40% - Accent2 3 2 4" xfId="362"/>
    <cellStyle name="40% - Accent2 3 2 4 2" xfId="2657"/>
    <cellStyle name="40% - Accent2 3 2 4 2 2" xfId="25432"/>
    <cellStyle name="40% - Accent2 3 2 4 3" xfId="23136"/>
    <cellStyle name="40% - Accent2 3 2 5" xfId="1017"/>
    <cellStyle name="40% - Accent2 3 2 5 2" xfId="3313"/>
    <cellStyle name="40% - Accent2 3 2 5 2 2" xfId="26088"/>
    <cellStyle name="40% - Accent2 3 2 5 3" xfId="23792"/>
    <cellStyle name="40% - Accent2 3 2 6" xfId="1673"/>
    <cellStyle name="40% - Accent2 3 2 6 2" xfId="3969"/>
    <cellStyle name="40% - Accent2 3 2 6 2 2" xfId="26744"/>
    <cellStyle name="40% - Accent2 3 2 6 3" xfId="24448"/>
    <cellStyle name="40% - Accent2 3 2 7" xfId="4625"/>
    <cellStyle name="40% - Accent2 3 2 7 2" xfId="27400"/>
    <cellStyle name="40% - Accent2 3 2 8" xfId="5281"/>
    <cellStyle name="40% - Accent2 3 2 8 2" xfId="28056"/>
    <cellStyle name="40% - Accent2 3 2 9" xfId="5937"/>
    <cellStyle name="40% - Accent2 3 2 9 2" xfId="28712"/>
    <cellStyle name="40% - Accent2 3 20" xfId="11786"/>
    <cellStyle name="40% - Accent2 3 20 2" xfId="34561"/>
    <cellStyle name="40% - Accent2 3 21" xfId="12442"/>
    <cellStyle name="40% - Accent2 3 21 2" xfId="35217"/>
    <cellStyle name="40% - Accent2 3 22" xfId="13098"/>
    <cellStyle name="40% - Accent2 3 22 2" xfId="35873"/>
    <cellStyle name="40% - Accent2 3 23" xfId="13754"/>
    <cellStyle name="40% - Accent2 3 23 2" xfId="36529"/>
    <cellStyle name="40% - Accent2 3 24" xfId="14410"/>
    <cellStyle name="40% - Accent2 3 24 2" xfId="37185"/>
    <cellStyle name="40% - Accent2 3 25" xfId="15066"/>
    <cellStyle name="40% - Accent2 3 25 2" xfId="37841"/>
    <cellStyle name="40% - Accent2 3 26" xfId="15722"/>
    <cellStyle name="40% - Accent2 3 26 2" xfId="38497"/>
    <cellStyle name="40% - Accent2 3 27" xfId="16378"/>
    <cellStyle name="40% - Accent2 3 27 2" xfId="39153"/>
    <cellStyle name="40% - Accent2 3 28" xfId="17034"/>
    <cellStyle name="40% - Accent2 3 28 2" xfId="39809"/>
    <cellStyle name="40% - Accent2 3 29" xfId="17690"/>
    <cellStyle name="40% - Accent2 3 29 2" xfId="40465"/>
    <cellStyle name="40% - Accent2 3 3" xfId="491"/>
    <cellStyle name="40% - Accent2 3 3 10" xfId="6723"/>
    <cellStyle name="40% - Accent2 3 3 10 2" xfId="29498"/>
    <cellStyle name="40% - Accent2 3 3 11" xfId="7379"/>
    <cellStyle name="40% - Accent2 3 3 11 2" xfId="30154"/>
    <cellStyle name="40% - Accent2 3 3 12" xfId="8035"/>
    <cellStyle name="40% - Accent2 3 3 12 2" xfId="30810"/>
    <cellStyle name="40% - Accent2 3 3 13" xfId="8691"/>
    <cellStyle name="40% - Accent2 3 3 13 2" xfId="31466"/>
    <cellStyle name="40% - Accent2 3 3 14" xfId="9347"/>
    <cellStyle name="40% - Accent2 3 3 14 2" xfId="32122"/>
    <cellStyle name="40% - Accent2 3 3 15" xfId="10003"/>
    <cellStyle name="40% - Accent2 3 3 15 2" xfId="32778"/>
    <cellStyle name="40% - Accent2 3 3 16" xfId="10659"/>
    <cellStyle name="40% - Accent2 3 3 16 2" xfId="33434"/>
    <cellStyle name="40% - Accent2 3 3 17" xfId="11315"/>
    <cellStyle name="40% - Accent2 3 3 17 2" xfId="34090"/>
    <cellStyle name="40% - Accent2 3 3 18" xfId="11971"/>
    <cellStyle name="40% - Accent2 3 3 18 2" xfId="34746"/>
    <cellStyle name="40% - Accent2 3 3 19" xfId="12627"/>
    <cellStyle name="40% - Accent2 3 3 19 2" xfId="35402"/>
    <cellStyle name="40% - Accent2 3 3 2" xfId="819"/>
    <cellStyle name="40% - Accent2 3 3 2 10" xfId="8363"/>
    <cellStyle name="40% - Accent2 3 3 2 10 2" xfId="31138"/>
    <cellStyle name="40% - Accent2 3 3 2 11" xfId="9019"/>
    <cellStyle name="40% - Accent2 3 3 2 11 2" xfId="31794"/>
    <cellStyle name="40% - Accent2 3 3 2 12" xfId="9675"/>
    <cellStyle name="40% - Accent2 3 3 2 12 2" xfId="32450"/>
    <cellStyle name="40% - Accent2 3 3 2 13" xfId="10331"/>
    <cellStyle name="40% - Accent2 3 3 2 13 2" xfId="33106"/>
    <cellStyle name="40% - Accent2 3 3 2 14" xfId="10987"/>
    <cellStyle name="40% - Accent2 3 3 2 14 2" xfId="33762"/>
    <cellStyle name="40% - Accent2 3 3 2 15" xfId="11643"/>
    <cellStyle name="40% - Accent2 3 3 2 15 2" xfId="34418"/>
    <cellStyle name="40% - Accent2 3 3 2 16" xfId="12299"/>
    <cellStyle name="40% - Accent2 3 3 2 16 2" xfId="35074"/>
    <cellStyle name="40% - Accent2 3 3 2 17" xfId="12955"/>
    <cellStyle name="40% - Accent2 3 3 2 17 2" xfId="35730"/>
    <cellStyle name="40% - Accent2 3 3 2 18" xfId="13611"/>
    <cellStyle name="40% - Accent2 3 3 2 18 2" xfId="36386"/>
    <cellStyle name="40% - Accent2 3 3 2 19" xfId="14267"/>
    <cellStyle name="40% - Accent2 3 3 2 19 2" xfId="37042"/>
    <cellStyle name="40% - Accent2 3 3 2 2" xfId="1475"/>
    <cellStyle name="40% - Accent2 3 3 2 2 2" xfId="3771"/>
    <cellStyle name="40% - Accent2 3 3 2 2 2 2" xfId="26546"/>
    <cellStyle name="40% - Accent2 3 3 2 2 3" xfId="24250"/>
    <cellStyle name="40% - Accent2 3 3 2 20" xfId="14923"/>
    <cellStyle name="40% - Accent2 3 3 2 20 2" xfId="37698"/>
    <cellStyle name="40% - Accent2 3 3 2 21" xfId="15579"/>
    <cellStyle name="40% - Accent2 3 3 2 21 2" xfId="38354"/>
    <cellStyle name="40% - Accent2 3 3 2 22" xfId="16235"/>
    <cellStyle name="40% - Accent2 3 3 2 22 2" xfId="39010"/>
    <cellStyle name="40% - Accent2 3 3 2 23" xfId="16891"/>
    <cellStyle name="40% - Accent2 3 3 2 23 2" xfId="39666"/>
    <cellStyle name="40% - Accent2 3 3 2 24" xfId="17547"/>
    <cellStyle name="40% - Accent2 3 3 2 24 2" xfId="40322"/>
    <cellStyle name="40% - Accent2 3 3 2 25" xfId="18203"/>
    <cellStyle name="40% - Accent2 3 3 2 25 2" xfId="40978"/>
    <cellStyle name="40% - Accent2 3 3 2 26" xfId="18859"/>
    <cellStyle name="40% - Accent2 3 3 2 26 2" xfId="41634"/>
    <cellStyle name="40% - Accent2 3 3 2 27" xfId="19515"/>
    <cellStyle name="40% - Accent2 3 3 2 27 2" xfId="42290"/>
    <cellStyle name="40% - Accent2 3 3 2 28" xfId="20171"/>
    <cellStyle name="40% - Accent2 3 3 2 28 2" xfId="42946"/>
    <cellStyle name="40% - Accent2 3 3 2 29" xfId="20827"/>
    <cellStyle name="40% - Accent2 3 3 2 29 2" xfId="43602"/>
    <cellStyle name="40% - Accent2 3 3 2 3" xfId="2131"/>
    <cellStyle name="40% - Accent2 3 3 2 3 2" xfId="4427"/>
    <cellStyle name="40% - Accent2 3 3 2 3 2 2" xfId="27202"/>
    <cellStyle name="40% - Accent2 3 3 2 3 3" xfId="24906"/>
    <cellStyle name="40% - Accent2 3 3 2 30" xfId="21483"/>
    <cellStyle name="40% - Accent2 3 3 2 30 2" xfId="44258"/>
    <cellStyle name="40% - Accent2 3 3 2 31" xfId="22139"/>
    <cellStyle name="40% - Accent2 3 3 2 31 2" xfId="44914"/>
    <cellStyle name="40% - Accent2 3 3 2 32" xfId="22795"/>
    <cellStyle name="40% - Accent2 3 3 2 32 2" xfId="45570"/>
    <cellStyle name="40% - Accent2 3 3 2 33" xfId="23594"/>
    <cellStyle name="40% - Accent2 3 3 2 4" xfId="5083"/>
    <cellStyle name="40% - Accent2 3 3 2 4 2" xfId="27858"/>
    <cellStyle name="40% - Accent2 3 3 2 5" xfId="5739"/>
    <cellStyle name="40% - Accent2 3 3 2 5 2" xfId="28514"/>
    <cellStyle name="40% - Accent2 3 3 2 6" xfId="6395"/>
    <cellStyle name="40% - Accent2 3 3 2 6 2" xfId="29170"/>
    <cellStyle name="40% - Accent2 3 3 2 7" xfId="3115"/>
    <cellStyle name="40% - Accent2 3 3 2 7 2" xfId="25890"/>
    <cellStyle name="40% - Accent2 3 3 2 8" xfId="7051"/>
    <cellStyle name="40% - Accent2 3 3 2 8 2" xfId="29826"/>
    <cellStyle name="40% - Accent2 3 3 2 9" xfId="7707"/>
    <cellStyle name="40% - Accent2 3 3 2 9 2" xfId="30482"/>
    <cellStyle name="40% - Accent2 3 3 20" xfId="13283"/>
    <cellStyle name="40% - Accent2 3 3 20 2" xfId="36058"/>
    <cellStyle name="40% - Accent2 3 3 21" xfId="13939"/>
    <cellStyle name="40% - Accent2 3 3 21 2" xfId="36714"/>
    <cellStyle name="40% - Accent2 3 3 22" xfId="14595"/>
    <cellStyle name="40% - Accent2 3 3 22 2" xfId="37370"/>
    <cellStyle name="40% - Accent2 3 3 23" xfId="15251"/>
    <cellStyle name="40% - Accent2 3 3 23 2" xfId="38026"/>
    <cellStyle name="40% - Accent2 3 3 24" xfId="15907"/>
    <cellStyle name="40% - Accent2 3 3 24 2" xfId="38682"/>
    <cellStyle name="40% - Accent2 3 3 25" xfId="16563"/>
    <cellStyle name="40% - Accent2 3 3 25 2" xfId="39338"/>
    <cellStyle name="40% - Accent2 3 3 26" xfId="17219"/>
    <cellStyle name="40% - Accent2 3 3 26 2" xfId="39994"/>
    <cellStyle name="40% - Accent2 3 3 27" xfId="17875"/>
    <cellStyle name="40% - Accent2 3 3 27 2" xfId="40650"/>
    <cellStyle name="40% - Accent2 3 3 28" xfId="18531"/>
    <cellStyle name="40% - Accent2 3 3 28 2" xfId="41306"/>
    <cellStyle name="40% - Accent2 3 3 29" xfId="19187"/>
    <cellStyle name="40% - Accent2 3 3 29 2" xfId="41962"/>
    <cellStyle name="40% - Accent2 3 3 3" xfId="1147"/>
    <cellStyle name="40% - Accent2 3 3 3 2" xfId="2787"/>
    <cellStyle name="40% - Accent2 3 3 3 2 2" xfId="25562"/>
    <cellStyle name="40% - Accent2 3 3 3 3" xfId="23922"/>
    <cellStyle name="40% - Accent2 3 3 30" xfId="19843"/>
    <cellStyle name="40% - Accent2 3 3 30 2" xfId="42618"/>
    <cellStyle name="40% - Accent2 3 3 31" xfId="20499"/>
    <cellStyle name="40% - Accent2 3 3 31 2" xfId="43274"/>
    <cellStyle name="40% - Accent2 3 3 32" xfId="21155"/>
    <cellStyle name="40% - Accent2 3 3 32 2" xfId="43930"/>
    <cellStyle name="40% - Accent2 3 3 33" xfId="21811"/>
    <cellStyle name="40% - Accent2 3 3 33 2" xfId="44586"/>
    <cellStyle name="40% - Accent2 3 3 34" xfId="22467"/>
    <cellStyle name="40% - Accent2 3 3 34 2" xfId="45242"/>
    <cellStyle name="40% - Accent2 3 3 35" xfId="23266"/>
    <cellStyle name="40% - Accent2 3 3 4" xfId="1803"/>
    <cellStyle name="40% - Accent2 3 3 4 2" xfId="3443"/>
    <cellStyle name="40% - Accent2 3 3 4 2 2" xfId="26218"/>
    <cellStyle name="40% - Accent2 3 3 4 3" xfId="24578"/>
    <cellStyle name="40% - Accent2 3 3 5" xfId="4099"/>
    <cellStyle name="40% - Accent2 3 3 5 2" xfId="26874"/>
    <cellStyle name="40% - Accent2 3 3 6" xfId="4755"/>
    <cellStyle name="40% - Accent2 3 3 6 2" xfId="27530"/>
    <cellStyle name="40% - Accent2 3 3 7" xfId="5411"/>
    <cellStyle name="40% - Accent2 3 3 7 2" xfId="28186"/>
    <cellStyle name="40% - Accent2 3 3 8" xfId="6067"/>
    <cellStyle name="40% - Accent2 3 3 8 2" xfId="28842"/>
    <cellStyle name="40% - Accent2 3 3 9" xfId="2459"/>
    <cellStyle name="40% - Accent2 3 3 9 2" xfId="25234"/>
    <cellStyle name="40% - Accent2 3 30" xfId="18346"/>
    <cellStyle name="40% - Accent2 3 30 2" xfId="41121"/>
    <cellStyle name="40% - Accent2 3 31" xfId="19002"/>
    <cellStyle name="40% - Accent2 3 31 2" xfId="41777"/>
    <cellStyle name="40% - Accent2 3 32" xfId="19658"/>
    <cellStyle name="40% - Accent2 3 32 2" xfId="42433"/>
    <cellStyle name="40% - Accent2 3 33" xfId="20314"/>
    <cellStyle name="40% - Accent2 3 33 2" xfId="43089"/>
    <cellStyle name="40% - Accent2 3 34" xfId="20970"/>
    <cellStyle name="40% - Accent2 3 34 2" xfId="43745"/>
    <cellStyle name="40% - Accent2 3 35" xfId="21626"/>
    <cellStyle name="40% - Accent2 3 35 2" xfId="44401"/>
    <cellStyle name="40% - Accent2 3 36" xfId="22282"/>
    <cellStyle name="40% - Accent2 3 36 2" xfId="45057"/>
    <cellStyle name="40% - Accent2 3 37" xfId="221"/>
    <cellStyle name="40% - Accent2 3 38" xfId="22938"/>
    <cellStyle name="40% - Accent2 3 4" xfId="634"/>
    <cellStyle name="40% - Accent2 3 4 10" xfId="8178"/>
    <cellStyle name="40% - Accent2 3 4 10 2" xfId="30953"/>
    <cellStyle name="40% - Accent2 3 4 11" xfId="8834"/>
    <cellStyle name="40% - Accent2 3 4 11 2" xfId="31609"/>
    <cellStyle name="40% - Accent2 3 4 12" xfId="9490"/>
    <cellStyle name="40% - Accent2 3 4 12 2" xfId="32265"/>
    <cellStyle name="40% - Accent2 3 4 13" xfId="10146"/>
    <cellStyle name="40% - Accent2 3 4 13 2" xfId="32921"/>
    <cellStyle name="40% - Accent2 3 4 14" xfId="10802"/>
    <cellStyle name="40% - Accent2 3 4 14 2" xfId="33577"/>
    <cellStyle name="40% - Accent2 3 4 15" xfId="11458"/>
    <cellStyle name="40% - Accent2 3 4 15 2" xfId="34233"/>
    <cellStyle name="40% - Accent2 3 4 16" xfId="12114"/>
    <cellStyle name="40% - Accent2 3 4 16 2" xfId="34889"/>
    <cellStyle name="40% - Accent2 3 4 17" xfId="12770"/>
    <cellStyle name="40% - Accent2 3 4 17 2" xfId="35545"/>
    <cellStyle name="40% - Accent2 3 4 18" xfId="13426"/>
    <cellStyle name="40% - Accent2 3 4 18 2" xfId="36201"/>
    <cellStyle name="40% - Accent2 3 4 19" xfId="14082"/>
    <cellStyle name="40% - Accent2 3 4 19 2" xfId="36857"/>
    <cellStyle name="40% - Accent2 3 4 2" xfId="1290"/>
    <cellStyle name="40% - Accent2 3 4 2 2" xfId="3586"/>
    <cellStyle name="40% - Accent2 3 4 2 2 2" xfId="26361"/>
    <cellStyle name="40% - Accent2 3 4 2 3" xfId="24065"/>
    <cellStyle name="40% - Accent2 3 4 20" xfId="14738"/>
    <cellStyle name="40% - Accent2 3 4 20 2" xfId="37513"/>
    <cellStyle name="40% - Accent2 3 4 21" xfId="15394"/>
    <cellStyle name="40% - Accent2 3 4 21 2" xfId="38169"/>
    <cellStyle name="40% - Accent2 3 4 22" xfId="16050"/>
    <cellStyle name="40% - Accent2 3 4 22 2" xfId="38825"/>
    <cellStyle name="40% - Accent2 3 4 23" xfId="16706"/>
    <cellStyle name="40% - Accent2 3 4 23 2" xfId="39481"/>
    <cellStyle name="40% - Accent2 3 4 24" xfId="17362"/>
    <cellStyle name="40% - Accent2 3 4 24 2" xfId="40137"/>
    <cellStyle name="40% - Accent2 3 4 25" xfId="18018"/>
    <cellStyle name="40% - Accent2 3 4 25 2" xfId="40793"/>
    <cellStyle name="40% - Accent2 3 4 26" xfId="18674"/>
    <cellStyle name="40% - Accent2 3 4 26 2" xfId="41449"/>
    <cellStyle name="40% - Accent2 3 4 27" xfId="19330"/>
    <cellStyle name="40% - Accent2 3 4 27 2" xfId="42105"/>
    <cellStyle name="40% - Accent2 3 4 28" xfId="19986"/>
    <cellStyle name="40% - Accent2 3 4 28 2" xfId="42761"/>
    <cellStyle name="40% - Accent2 3 4 29" xfId="20642"/>
    <cellStyle name="40% - Accent2 3 4 29 2" xfId="43417"/>
    <cellStyle name="40% - Accent2 3 4 3" xfId="1946"/>
    <cellStyle name="40% - Accent2 3 4 3 2" xfId="4242"/>
    <cellStyle name="40% - Accent2 3 4 3 2 2" xfId="27017"/>
    <cellStyle name="40% - Accent2 3 4 3 3" xfId="24721"/>
    <cellStyle name="40% - Accent2 3 4 30" xfId="21298"/>
    <cellStyle name="40% - Accent2 3 4 30 2" xfId="44073"/>
    <cellStyle name="40% - Accent2 3 4 31" xfId="21954"/>
    <cellStyle name="40% - Accent2 3 4 31 2" xfId="44729"/>
    <cellStyle name="40% - Accent2 3 4 32" xfId="22610"/>
    <cellStyle name="40% - Accent2 3 4 32 2" xfId="45385"/>
    <cellStyle name="40% - Accent2 3 4 33" xfId="23409"/>
    <cellStyle name="40% - Accent2 3 4 4" xfId="4898"/>
    <cellStyle name="40% - Accent2 3 4 4 2" xfId="27673"/>
    <cellStyle name="40% - Accent2 3 4 5" xfId="5554"/>
    <cellStyle name="40% - Accent2 3 4 5 2" xfId="28329"/>
    <cellStyle name="40% - Accent2 3 4 6" xfId="6210"/>
    <cellStyle name="40% - Accent2 3 4 6 2" xfId="28985"/>
    <cellStyle name="40% - Accent2 3 4 7" xfId="2930"/>
    <cellStyle name="40% - Accent2 3 4 7 2" xfId="25705"/>
    <cellStyle name="40% - Accent2 3 4 8" xfId="6866"/>
    <cellStyle name="40% - Accent2 3 4 8 2" xfId="29641"/>
    <cellStyle name="40% - Accent2 3 4 9" xfId="7522"/>
    <cellStyle name="40% - Accent2 3 4 9 2" xfId="30297"/>
    <cellStyle name="40% - Accent2 3 5" xfId="307"/>
    <cellStyle name="40% - Accent2 3 5 2" xfId="2602"/>
    <cellStyle name="40% - Accent2 3 5 2 2" xfId="25377"/>
    <cellStyle name="40% - Accent2 3 5 3" xfId="23081"/>
    <cellStyle name="40% - Accent2 3 6" xfId="962"/>
    <cellStyle name="40% - Accent2 3 6 2" xfId="3258"/>
    <cellStyle name="40% - Accent2 3 6 2 2" xfId="26033"/>
    <cellStyle name="40% - Accent2 3 6 3" xfId="23737"/>
    <cellStyle name="40% - Accent2 3 7" xfId="1618"/>
    <cellStyle name="40% - Accent2 3 7 2" xfId="3914"/>
    <cellStyle name="40% - Accent2 3 7 2 2" xfId="26689"/>
    <cellStyle name="40% - Accent2 3 7 3" xfId="24393"/>
    <cellStyle name="40% - Accent2 3 8" xfId="4570"/>
    <cellStyle name="40% - Accent2 3 8 2" xfId="27345"/>
    <cellStyle name="40% - Accent2 3 9" xfId="5226"/>
    <cellStyle name="40% - Accent2 3 9 2" xfId="28001"/>
    <cellStyle name="40% - Accent2 30" xfId="13723"/>
    <cellStyle name="40% - Accent2 30 2" xfId="36498"/>
    <cellStyle name="40% - Accent2 31" xfId="14379"/>
    <cellStyle name="40% - Accent2 31 2" xfId="37154"/>
    <cellStyle name="40% - Accent2 32" xfId="15035"/>
    <cellStyle name="40% - Accent2 32 2" xfId="37810"/>
    <cellStyle name="40% - Accent2 33" xfId="15691"/>
    <cellStyle name="40% - Accent2 33 2" xfId="38466"/>
    <cellStyle name="40% - Accent2 34" xfId="16347"/>
    <cellStyle name="40% - Accent2 34 2" xfId="39122"/>
    <cellStyle name="40% - Accent2 35" xfId="17003"/>
    <cellStyle name="40% - Accent2 35 2" xfId="39778"/>
    <cellStyle name="40% - Accent2 36" xfId="17659"/>
    <cellStyle name="40% - Accent2 36 2" xfId="40434"/>
    <cellStyle name="40% - Accent2 37" xfId="18315"/>
    <cellStyle name="40% - Accent2 37 2" xfId="41090"/>
    <cellStyle name="40% - Accent2 38" xfId="18971"/>
    <cellStyle name="40% - Accent2 38 2" xfId="41746"/>
    <cellStyle name="40% - Accent2 39" xfId="19627"/>
    <cellStyle name="40% - Accent2 39 2" xfId="42402"/>
    <cellStyle name="40% - Accent2 4" xfId="90"/>
    <cellStyle name="40% - Accent2 4 10" xfId="5896"/>
    <cellStyle name="40% - Accent2 4 10 2" xfId="28671"/>
    <cellStyle name="40% - Accent2 4 11" xfId="2288"/>
    <cellStyle name="40% - Accent2 4 11 2" xfId="25063"/>
    <cellStyle name="40% - Accent2 4 12" xfId="6552"/>
    <cellStyle name="40% - Accent2 4 12 2" xfId="29327"/>
    <cellStyle name="40% - Accent2 4 13" xfId="7208"/>
    <cellStyle name="40% - Accent2 4 13 2" xfId="29983"/>
    <cellStyle name="40% - Accent2 4 14" xfId="7864"/>
    <cellStyle name="40% - Accent2 4 14 2" xfId="30639"/>
    <cellStyle name="40% - Accent2 4 15" xfId="8520"/>
    <cellStyle name="40% - Accent2 4 15 2" xfId="31295"/>
    <cellStyle name="40% - Accent2 4 16" xfId="9176"/>
    <cellStyle name="40% - Accent2 4 16 2" xfId="31951"/>
    <cellStyle name="40% - Accent2 4 17" xfId="9832"/>
    <cellStyle name="40% - Accent2 4 17 2" xfId="32607"/>
    <cellStyle name="40% - Accent2 4 18" xfId="10488"/>
    <cellStyle name="40% - Accent2 4 18 2" xfId="33263"/>
    <cellStyle name="40% - Accent2 4 19" xfId="11144"/>
    <cellStyle name="40% - Accent2 4 19 2" xfId="33919"/>
    <cellStyle name="40% - Accent2 4 2" xfId="161"/>
    <cellStyle name="40% - Accent2 4 2 10" xfId="2359"/>
    <cellStyle name="40% - Accent2 4 2 10 2" xfId="25134"/>
    <cellStyle name="40% - Accent2 4 2 11" xfId="6623"/>
    <cellStyle name="40% - Accent2 4 2 11 2" xfId="29398"/>
    <cellStyle name="40% - Accent2 4 2 12" xfId="7279"/>
    <cellStyle name="40% - Accent2 4 2 12 2" xfId="30054"/>
    <cellStyle name="40% - Accent2 4 2 13" xfId="7935"/>
    <cellStyle name="40% - Accent2 4 2 13 2" xfId="30710"/>
    <cellStyle name="40% - Accent2 4 2 14" xfId="8591"/>
    <cellStyle name="40% - Accent2 4 2 14 2" xfId="31366"/>
    <cellStyle name="40% - Accent2 4 2 15" xfId="9247"/>
    <cellStyle name="40% - Accent2 4 2 15 2" xfId="32022"/>
    <cellStyle name="40% - Accent2 4 2 16" xfId="9903"/>
    <cellStyle name="40% - Accent2 4 2 16 2" xfId="32678"/>
    <cellStyle name="40% - Accent2 4 2 17" xfId="10559"/>
    <cellStyle name="40% - Accent2 4 2 17 2" xfId="33334"/>
    <cellStyle name="40% - Accent2 4 2 18" xfId="11215"/>
    <cellStyle name="40% - Accent2 4 2 18 2" xfId="33990"/>
    <cellStyle name="40% - Accent2 4 2 19" xfId="11871"/>
    <cellStyle name="40% - Accent2 4 2 19 2" xfId="34646"/>
    <cellStyle name="40% - Accent2 4 2 2" xfId="575"/>
    <cellStyle name="40% - Accent2 4 2 2 10" xfId="6808"/>
    <cellStyle name="40% - Accent2 4 2 2 10 2" xfId="29583"/>
    <cellStyle name="40% - Accent2 4 2 2 11" xfId="7464"/>
    <cellStyle name="40% - Accent2 4 2 2 11 2" xfId="30239"/>
    <cellStyle name="40% - Accent2 4 2 2 12" xfId="8120"/>
    <cellStyle name="40% - Accent2 4 2 2 12 2" xfId="30895"/>
    <cellStyle name="40% - Accent2 4 2 2 13" xfId="8776"/>
    <cellStyle name="40% - Accent2 4 2 2 13 2" xfId="31551"/>
    <cellStyle name="40% - Accent2 4 2 2 14" xfId="9432"/>
    <cellStyle name="40% - Accent2 4 2 2 14 2" xfId="32207"/>
    <cellStyle name="40% - Accent2 4 2 2 15" xfId="10088"/>
    <cellStyle name="40% - Accent2 4 2 2 15 2" xfId="32863"/>
    <cellStyle name="40% - Accent2 4 2 2 16" xfId="10744"/>
    <cellStyle name="40% - Accent2 4 2 2 16 2" xfId="33519"/>
    <cellStyle name="40% - Accent2 4 2 2 17" xfId="11400"/>
    <cellStyle name="40% - Accent2 4 2 2 17 2" xfId="34175"/>
    <cellStyle name="40% - Accent2 4 2 2 18" xfId="12056"/>
    <cellStyle name="40% - Accent2 4 2 2 18 2" xfId="34831"/>
    <cellStyle name="40% - Accent2 4 2 2 19" xfId="12712"/>
    <cellStyle name="40% - Accent2 4 2 2 19 2" xfId="35487"/>
    <cellStyle name="40% - Accent2 4 2 2 2" xfId="904"/>
    <cellStyle name="40% - Accent2 4 2 2 2 10" xfId="8448"/>
    <cellStyle name="40% - Accent2 4 2 2 2 10 2" xfId="31223"/>
    <cellStyle name="40% - Accent2 4 2 2 2 11" xfId="9104"/>
    <cellStyle name="40% - Accent2 4 2 2 2 11 2" xfId="31879"/>
    <cellStyle name="40% - Accent2 4 2 2 2 12" xfId="9760"/>
    <cellStyle name="40% - Accent2 4 2 2 2 12 2" xfId="32535"/>
    <cellStyle name="40% - Accent2 4 2 2 2 13" xfId="10416"/>
    <cellStyle name="40% - Accent2 4 2 2 2 13 2" xfId="33191"/>
    <cellStyle name="40% - Accent2 4 2 2 2 14" xfId="11072"/>
    <cellStyle name="40% - Accent2 4 2 2 2 14 2" xfId="33847"/>
    <cellStyle name="40% - Accent2 4 2 2 2 15" xfId="11728"/>
    <cellStyle name="40% - Accent2 4 2 2 2 15 2" xfId="34503"/>
    <cellStyle name="40% - Accent2 4 2 2 2 16" xfId="12384"/>
    <cellStyle name="40% - Accent2 4 2 2 2 16 2" xfId="35159"/>
    <cellStyle name="40% - Accent2 4 2 2 2 17" xfId="13040"/>
    <cellStyle name="40% - Accent2 4 2 2 2 17 2" xfId="35815"/>
    <cellStyle name="40% - Accent2 4 2 2 2 18" xfId="13696"/>
    <cellStyle name="40% - Accent2 4 2 2 2 18 2" xfId="36471"/>
    <cellStyle name="40% - Accent2 4 2 2 2 19" xfId="14352"/>
    <cellStyle name="40% - Accent2 4 2 2 2 19 2" xfId="37127"/>
    <cellStyle name="40% - Accent2 4 2 2 2 2" xfId="1560"/>
    <cellStyle name="40% - Accent2 4 2 2 2 2 2" xfId="3856"/>
    <cellStyle name="40% - Accent2 4 2 2 2 2 2 2" xfId="26631"/>
    <cellStyle name="40% - Accent2 4 2 2 2 2 3" xfId="24335"/>
    <cellStyle name="40% - Accent2 4 2 2 2 20" xfId="15008"/>
    <cellStyle name="40% - Accent2 4 2 2 2 20 2" xfId="37783"/>
    <cellStyle name="40% - Accent2 4 2 2 2 21" xfId="15664"/>
    <cellStyle name="40% - Accent2 4 2 2 2 21 2" xfId="38439"/>
    <cellStyle name="40% - Accent2 4 2 2 2 22" xfId="16320"/>
    <cellStyle name="40% - Accent2 4 2 2 2 22 2" xfId="39095"/>
    <cellStyle name="40% - Accent2 4 2 2 2 23" xfId="16976"/>
    <cellStyle name="40% - Accent2 4 2 2 2 23 2" xfId="39751"/>
    <cellStyle name="40% - Accent2 4 2 2 2 24" xfId="17632"/>
    <cellStyle name="40% - Accent2 4 2 2 2 24 2" xfId="40407"/>
    <cellStyle name="40% - Accent2 4 2 2 2 25" xfId="18288"/>
    <cellStyle name="40% - Accent2 4 2 2 2 25 2" xfId="41063"/>
    <cellStyle name="40% - Accent2 4 2 2 2 26" xfId="18944"/>
    <cellStyle name="40% - Accent2 4 2 2 2 26 2" xfId="41719"/>
    <cellStyle name="40% - Accent2 4 2 2 2 27" xfId="19600"/>
    <cellStyle name="40% - Accent2 4 2 2 2 27 2" xfId="42375"/>
    <cellStyle name="40% - Accent2 4 2 2 2 28" xfId="20256"/>
    <cellStyle name="40% - Accent2 4 2 2 2 28 2" xfId="43031"/>
    <cellStyle name="40% - Accent2 4 2 2 2 29" xfId="20912"/>
    <cellStyle name="40% - Accent2 4 2 2 2 29 2" xfId="43687"/>
    <cellStyle name="40% - Accent2 4 2 2 2 3" xfId="2216"/>
    <cellStyle name="40% - Accent2 4 2 2 2 3 2" xfId="4512"/>
    <cellStyle name="40% - Accent2 4 2 2 2 3 2 2" xfId="27287"/>
    <cellStyle name="40% - Accent2 4 2 2 2 3 3" xfId="24991"/>
    <cellStyle name="40% - Accent2 4 2 2 2 30" xfId="21568"/>
    <cellStyle name="40% - Accent2 4 2 2 2 30 2" xfId="44343"/>
    <cellStyle name="40% - Accent2 4 2 2 2 31" xfId="22224"/>
    <cellStyle name="40% - Accent2 4 2 2 2 31 2" xfId="44999"/>
    <cellStyle name="40% - Accent2 4 2 2 2 32" xfId="22880"/>
    <cellStyle name="40% - Accent2 4 2 2 2 32 2" xfId="45655"/>
    <cellStyle name="40% - Accent2 4 2 2 2 33" xfId="23679"/>
    <cellStyle name="40% - Accent2 4 2 2 2 4" xfId="5168"/>
    <cellStyle name="40% - Accent2 4 2 2 2 4 2" xfId="27943"/>
    <cellStyle name="40% - Accent2 4 2 2 2 5" xfId="5824"/>
    <cellStyle name="40% - Accent2 4 2 2 2 5 2" xfId="28599"/>
    <cellStyle name="40% - Accent2 4 2 2 2 6" xfId="6480"/>
    <cellStyle name="40% - Accent2 4 2 2 2 6 2" xfId="29255"/>
    <cellStyle name="40% - Accent2 4 2 2 2 7" xfId="3200"/>
    <cellStyle name="40% - Accent2 4 2 2 2 7 2" xfId="25975"/>
    <cellStyle name="40% - Accent2 4 2 2 2 8" xfId="7136"/>
    <cellStyle name="40% - Accent2 4 2 2 2 8 2" xfId="29911"/>
    <cellStyle name="40% - Accent2 4 2 2 2 9" xfId="7792"/>
    <cellStyle name="40% - Accent2 4 2 2 2 9 2" xfId="30567"/>
    <cellStyle name="40% - Accent2 4 2 2 20" xfId="13368"/>
    <cellStyle name="40% - Accent2 4 2 2 20 2" xfId="36143"/>
    <cellStyle name="40% - Accent2 4 2 2 21" xfId="14024"/>
    <cellStyle name="40% - Accent2 4 2 2 21 2" xfId="36799"/>
    <cellStyle name="40% - Accent2 4 2 2 22" xfId="14680"/>
    <cellStyle name="40% - Accent2 4 2 2 22 2" xfId="37455"/>
    <cellStyle name="40% - Accent2 4 2 2 23" xfId="15336"/>
    <cellStyle name="40% - Accent2 4 2 2 23 2" xfId="38111"/>
    <cellStyle name="40% - Accent2 4 2 2 24" xfId="15992"/>
    <cellStyle name="40% - Accent2 4 2 2 24 2" xfId="38767"/>
    <cellStyle name="40% - Accent2 4 2 2 25" xfId="16648"/>
    <cellStyle name="40% - Accent2 4 2 2 25 2" xfId="39423"/>
    <cellStyle name="40% - Accent2 4 2 2 26" xfId="17304"/>
    <cellStyle name="40% - Accent2 4 2 2 26 2" xfId="40079"/>
    <cellStyle name="40% - Accent2 4 2 2 27" xfId="17960"/>
    <cellStyle name="40% - Accent2 4 2 2 27 2" xfId="40735"/>
    <cellStyle name="40% - Accent2 4 2 2 28" xfId="18616"/>
    <cellStyle name="40% - Accent2 4 2 2 28 2" xfId="41391"/>
    <cellStyle name="40% - Accent2 4 2 2 29" xfId="19272"/>
    <cellStyle name="40% - Accent2 4 2 2 29 2" xfId="42047"/>
    <cellStyle name="40% - Accent2 4 2 2 3" xfId="1232"/>
    <cellStyle name="40% - Accent2 4 2 2 3 2" xfId="2872"/>
    <cellStyle name="40% - Accent2 4 2 2 3 2 2" xfId="25647"/>
    <cellStyle name="40% - Accent2 4 2 2 3 3" xfId="24007"/>
    <cellStyle name="40% - Accent2 4 2 2 30" xfId="19928"/>
    <cellStyle name="40% - Accent2 4 2 2 30 2" xfId="42703"/>
    <cellStyle name="40% - Accent2 4 2 2 31" xfId="20584"/>
    <cellStyle name="40% - Accent2 4 2 2 31 2" xfId="43359"/>
    <cellStyle name="40% - Accent2 4 2 2 32" xfId="21240"/>
    <cellStyle name="40% - Accent2 4 2 2 32 2" xfId="44015"/>
    <cellStyle name="40% - Accent2 4 2 2 33" xfId="21896"/>
    <cellStyle name="40% - Accent2 4 2 2 33 2" xfId="44671"/>
    <cellStyle name="40% - Accent2 4 2 2 34" xfId="22552"/>
    <cellStyle name="40% - Accent2 4 2 2 34 2" xfId="45327"/>
    <cellStyle name="40% - Accent2 4 2 2 35" xfId="23351"/>
    <cellStyle name="40% - Accent2 4 2 2 4" xfId="1888"/>
    <cellStyle name="40% - Accent2 4 2 2 4 2" xfId="3528"/>
    <cellStyle name="40% - Accent2 4 2 2 4 2 2" xfId="26303"/>
    <cellStyle name="40% - Accent2 4 2 2 4 3" xfId="24663"/>
    <cellStyle name="40% - Accent2 4 2 2 5" xfId="4184"/>
    <cellStyle name="40% - Accent2 4 2 2 5 2" xfId="26959"/>
    <cellStyle name="40% - Accent2 4 2 2 6" xfId="4840"/>
    <cellStyle name="40% - Accent2 4 2 2 6 2" xfId="27615"/>
    <cellStyle name="40% - Accent2 4 2 2 7" xfId="5496"/>
    <cellStyle name="40% - Accent2 4 2 2 7 2" xfId="28271"/>
    <cellStyle name="40% - Accent2 4 2 2 8" xfId="6152"/>
    <cellStyle name="40% - Accent2 4 2 2 8 2" xfId="28927"/>
    <cellStyle name="40% - Accent2 4 2 2 9" xfId="2544"/>
    <cellStyle name="40% - Accent2 4 2 2 9 2" xfId="25319"/>
    <cellStyle name="40% - Accent2 4 2 20" xfId="12527"/>
    <cellStyle name="40% - Accent2 4 2 20 2" xfId="35302"/>
    <cellStyle name="40% - Accent2 4 2 21" xfId="13183"/>
    <cellStyle name="40% - Accent2 4 2 21 2" xfId="35958"/>
    <cellStyle name="40% - Accent2 4 2 22" xfId="13839"/>
    <cellStyle name="40% - Accent2 4 2 22 2" xfId="36614"/>
    <cellStyle name="40% - Accent2 4 2 23" xfId="14495"/>
    <cellStyle name="40% - Accent2 4 2 23 2" xfId="37270"/>
    <cellStyle name="40% - Accent2 4 2 24" xfId="15151"/>
    <cellStyle name="40% - Accent2 4 2 24 2" xfId="37926"/>
    <cellStyle name="40% - Accent2 4 2 25" xfId="15807"/>
    <cellStyle name="40% - Accent2 4 2 25 2" xfId="38582"/>
    <cellStyle name="40% - Accent2 4 2 26" xfId="16463"/>
    <cellStyle name="40% - Accent2 4 2 26 2" xfId="39238"/>
    <cellStyle name="40% - Accent2 4 2 27" xfId="17119"/>
    <cellStyle name="40% - Accent2 4 2 27 2" xfId="39894"/>
    <cellStyle name="40% - Accent2 4 2 28" xfId="17775"/>
    <cellStyle name="40% - Accent2 4 2 28 2" xfId="40550"/>
    <cellStyle name="40% - Accent2 4 2 29" xfId="18431"/>
    <cellStyle name="40% - Accent2 4 2 29 2" xfId="41206"/>
    <cellStyle name="40% - Accent2 4 2 3" xfId="719"/>
    <cellStyle name="40% - Accent2 4 2 3 10" xfId="8263"/>
    <cellStyle name="40% - Accent2 4 2 3 10 2" xfId="31038"/>
    <cellStyle name="40% - Accent2 4 2 3 11" xfId="8919"/>
    <cellStyle name="40% - Accent2 4 2 3 11 2" xfId="31694"/>
    <cellStyle name="40% - Accent2 4 2 3 12" xfId="9575"/>
    <cellStyle name="40% - Accent2 4 2 3 12 2" xfId="32350"/>
    <cellStyle name="40% - Accent2 4 2 3 13" xfId="10231"/>
    <cellStyle name="40% - Accent2 4 2 3 13 2" xfId="33006"/>
    <cellStyle name="40% - Accent2 4 2 3 14" xfId="10887"/>
    <cellStyle name="40% - Accent2 4 2 3 14 2" xfId="33662"/>
    <cellStyle name="40% - Accent2 4 2 3 15" xfId="11543"/>
    <cellStyle name="40% - Accent2 4 2 3 15 2" xfId="34318"/>
    <cellStyle name="40% - Accent2 4 2 3 16" xfId="12199"/>
    <cellStyle name="40% - Accent2 4 2 3 16 2" xfId="34974"/>
    <cellStyle name="40% - Accent2 4 2 3 17" xfId="12855"/>
    <cellStyle name="40% - Accent2 4 2 3 17 2" xfId="35630"/>
    <cellStyle name="40% - Accent2 4 2 3 18" xfId="13511"/>
    <cellStyle name="40% - Accent2 4 2 3 18 2" xfId="36286"/>
    <cellStyle name="40% - Accent2 4 2 3 19" xfId="14167"/>
    <cellStyle name="40% - Accent2 4 2 3 19 2" xfId="36942"/>
    <cellStyle name="40% - Accent2 4 2 3 2" xfId="1375"/>
    <cellStyle name="40% - Accent2 4 2 3 2 2" xfId="3671"/>
    <cellStyle name="40% - Accent2 4 2 3 2 2 2" xfId="26446"/>
    <cellStyle name="40% - Accent2 4 2 3 2 3" xfId="24150"/>
    <cellStyle name="40% - Accent2 4 2 3 20" xfId="14823"/>
    <cellStyle name="40% - Accent2 4 2 3 20 2" xfId="37598"/>
    <cellStyle name="40% - Accent2 4 2 3 21" xfId="15479"/>
    <cellStyle name="40% - Accent2 4 2 3 21 2" xfId="38254"/>
    <cellStyle name="40% - Accent2 4 2 3 22" xfId="16135"/>
    <cellStyle name="40% - Accent2 4 2 3 22 2" xfId="38910"/>
    <cellStyle name="40% - Accent2 4 2 3 23" xfId="16791"/>
    <cellStyle name="40% - Accent2 4 2 3 23 2" xfId="39566"/>
    <cellStyle name="40% - Accent2 4 2 3 24" xfId="17447"/>
    <cellStyle name="40% - Accent2 4 2 3 24 2" xfId="40222"/>
    <cellStyle name="40% - Accent2 4 2 3 25" xfId="18103"/>
    <cellStyle name="40% - Accent2 4 2 3 25 2" xfId="40878"/>
    <cellStyle name="40% - Accent2 4 2 3 26" xfId="18759"/>
    <cellStyle name="40% - Accent2 4 2 3 26 2" xfId="41534"/>
    <cellStyle name="40% - Accent2 4 2 3 27" xfId="19415"/>
    <cellStyle name="40% - Accent2 4 2 3 27 2" xfId="42190"/>
    <cellStyle name="40% - Accent2 4 2 3 28" xfId="20071"/>
    <cellStyle name="40% - Accent2 4 2 3 28 2" xfId="42846"/>
    <cellStyle name="40% - Accent2 4 2 3 29" xfId="20727"/>
    <cellStyle name="40% - Accent2 4 2 3 29 2" xfId="43502"/>
    <cellStyle name="40% - Accent2 4 2 3 3" xfId="2031"/>
    <cellStyle name="40% - Accent2 4 2 3 3 2" xfId="4327"/>
    <cellStyle name="40% - Accent2 4 2 3 3 2 2" xfId="27102"/>
    <cellStyle name="40% - Accent2 4 2 3 3 3" xfId="24806"/>
    <cellStyle name="40% - Accent2 4 2 3 30" xfId="21383"/>
    <cellStyle name="40% - Accent2 4 2 3 30 2" xfId="44158"/>
    <cellStyle name="40% - Accent2 4 2 3 31" xfId="22039"/>
    <cellStyle name="40% - Accent2 4 2 3 31 2" xfId="44814"/>
    <cellStyle name="40% - Accent2 4 2 3 32" xfId="22695"/>
    <cellStyle name="40% - Accent2 4 2 3 32 2" xfId="45470"/>
    <cellStyle name="40% - Accent2 4 2 3 33" xfId="23494"/>
    <cellStyle name="40% - Accent2 4 2 3 4" xfId="4983"/>
    <cellStyle name="40% - Accent2 4 2 3 4 2" xfId="27758"/>
    <cellStyle name="40% - Accent2 4 2 3 5" xfId="5639"/>
    <cellStyle name="40% - Accent2 4 2 3 5 2" xfId="28414"/>
    <cellStyle name="40% - Accent2 4 2 3 6" xfId="6295"/>
    <cellStyle name="40% - Accent2 4 2 3 6 2" xfId="29070"/>
    <cellStyle name="40% - Accent2 4 2 3 7" xfId="3015"/>
    <cellStyle name="40% - Accent2 4 2 3 7 2" xfId="25790"/>
    <cellStyle name="40% - Accent2 4 2 3 8" xfId="6951"/>
    <cellStyle name="40% - Accent2 4 2 3 8 2" xfId="29726"/>
    <cellStyle name="40% - Accent2 4 2 3 9" xfId="7607"/>
    <cellStyle name="40% - Accent2 4 2 3 9 2" xfId="30382"/>
    <cellStyle name="40% - Accent2 4 2 30" xfId="19087"/>
    <cellStyle name="40% - Accent2 4 2 30 2" xfId="41862"/>
    <cellStyle name="40% - Accent2 4 2 31" xfId="19743"/>
    <cellStyle name="40% - Accent2 4 2 31 2" xfId="42518"/>
    <cellStyle name="40% - Accent2 4 2 32" xfId="20399"/>
    <cellStyle name="40% - Accent2 4 2 32 2" xfId="43174"/>
    <cellStyle name="40% - Accent2 4 2 33" xfId="21055"/>
    <cellStyle name="40% - Accent2 4 2 33 2" xfId="43830"/>
    <cellStyle name="40% - Accent2 4 2 34" xfId="21711"/>
    <cellStyle name="40% - Accent2 4 2 34 2" xfId="44486"/>
    <cellStyle name="40% - Accent2 4 2 35" xfId="22367"/>
    <cellStyle name="40% - Accent2 4 2 35 2" xfId="45142"/>
    <cellStyle name="40% - Accent2 4 2 36" xfId="23023"/>
    <cellStyle name="40% - Accent2 4 2 4" xfId="392"/>
    <cellStyle name="40% - Accent2 4 2 4 2" xfId="2687"/>
    <cellStyle name="40% - Accent2 4 2 4 2 2" xfId="25462"/>
    <cellStyle name="40% - Accent2 4 2 4 3" xfId="23166"/>
    <cellStyle name="40% - Accent2 4 2 5" xfId="1047"/>
    <cellStyle name="40% - Accent2 4 2 5 2" xfId="3343"/>
    <cellStyle name="40% - Accent2 4 2 5 2 2" xfId="26118"/>
    <cellStyle name="40% - Accent2 4 2 5 3" xfId="23822"/>
    <cellStyle name="40% - Accent2 4 2 6" xfId="1703"/>
    <cellStyle name="40% - Accent2 4 2 6 2" xfId="3999"/>
    <cellStyle name="40% - Accent2 4 2 6 2 2" xfId="26774"/>
    <cellStyle name="40% - Accent2 4 2 6 3" xfId="24478"/>
    <cellStyle name="40% - Accent2 4 2 7" xfId="4655"/>
    <cellStyle name="40% - Accent2 4 2 7 2" xfId="27430"/>
    <cellStyle name="40% - Accent2 4 2 8" xfId="5311"/>
    <cellStyle name="40% - Accent2 4 2 8 2" xfId="28086"/>
    <cellStyle name="40% - Accent2 4 2 9" xfId="5967"/>
    <cellStyle name="40% - Accent2 4 2 9 2" xfId="28742"/>
    <cellStyle name="40% - Accent2 4 20" xfId="11800"/>
    <cellStyle name="40% - Accent2 4 20 2" xfId="34575"/>
    <cellStyle name="40% - Accent2 4 21" xfId="12456"/>
    <cellStyle name="40% - Accent2 4 21 2" xfId="35231"/>
    <cellStyle name="40% - Accent2 4 22" xfId="13112"/>
    <cellStyle name="40% - Accent2 4 22 2" xfId="35887"/>
    <cellStyle name="40% - Accent2 4 23" xfId="13768"/>
    <cellStyle name="40% - Accent2 4 23 2" xfId="36543"/>
    <cellStyle name="40% - Accent2 4 24" xfId="14424"/>
    <cellStyle name="40% - Accent2 4 24 2" xfId="37199"/>
    <cellStyle name="40% - Accent2 4 25" xfId="15080"/>
    <cellStyle name="40% - Accent2 4 25 2" xfId="37855"/>
    <cellStyle name="40% - Accent2 4 26" xfId="15736"/>
    <cellStyle name="40% - Accent2 4 26 2" xfId="38511"/>
    <cellStyle name="40% - Accent2 4 27" xfId="16392"/>
    <cellStyle name="40% - Accent2 4 27 2" xfId="39167"/>
    <cellStyle name="40% - Accent2 4 28" xfId="17048"/>
    <cellStyle name="40% - Accent2 4 28 2" xfId="39823"/>
    <cellStyle name="40% - Accent2 4 29" xfId="17704"/>
    <cellStyle name="40% - Accent2 4 29 2" xfId="40479"/>
    <cellStyle name="40% - Accent2 4 3" xfId="505"/>
    <cellStyle name="40% - Accent2 4 3 10" xfId="6737"/>
    <cellStyle name="40% - Accent2 4 3 10 2" xfId="29512"/>
    <cellStyle name="40% - Accent2 4 3 11" xfId="7393"/>
    <cellStyle name="40% - Accent2 4 3 11 2" xfId="30168"/>
    <cellStyle name="40% - Accent2 4 3 12" xfId="8049"/>
    <cellStyle name="40% - Accent2 4 3 12 2" xfId="30824"/>
    <cellStyle name="40% - Accent2 4 3 13" xfId="8705"/>
    <cellStyle name="40% - Accent2 4 3 13 2" xfId="31480"/>
    <cellStyle name="40% - Accent2 4 3 14" xfId="9361"/>
    <cellStyle name="40% - Accent2 4 3 14 2" xfId="32136"/>
    <cellStyle name="40% - Accent2 4 3 15" xfId="10017"/>
    <cellStyle name="40% - Accent2 4 3 15 2" xfId="32792"/>
    <cellStyle name="40% - Accent2 4 3 16" xfId="10673"/>
    <cellStyle name="40% - Accent2 4 3 16 2" xfId="33448"/>
    <cellStyle name="40% - Accent2 4 3 17" xfId="11329"/>
    <cellStyle name="40% - Accent2 4 3 17 2" xfId="34104"/>
    <cellStyle name="40% - Accent2 4 3 18" xfId="11985"/>
    <cellStyle name="40% - Accent2 4 3 18 2" xfId="34760"/>
    <cellStyle name="40% - Accent2 4 3 19" xfId="12641"/>
    <cellStyle name="40% - Accent2 4 3 19 2" xfId="35416"/>
    <cellStyle name="40% - Accent2 4 3 2" xfId="833"/>
    <cellStyle name="40% - Accent2 4 3 2 10" xfId="8377"/>
    <cellStyle name="40% - Accent2 4 3 2 10 2" xfId="31152"/>
    <cellStyle name="40% - Accent2 4 3 2 11" xfId="9033"/>
    <cellStyle name="40% - Accent2 4 3 2 11 2" xfId="31808"/>
    <cellStyle name="40% - Accent2 4 3 2 12" xfId="9689"/>
    <cellStyle name="40% - Accent2 4 3 2 12 2" xfId="32464"/>
    <cellStyle name="40% - Accent2 4 3 2 13" xfId="10345"/>
    <cellStyle name="40% - Accent2 4 3 2 13 2" xfId="33120"/>
    <cellStyle name="40% - Accent2 4 3 2 14" xfId="11001"/>
    <cellStyle name="40% - Accent2 4 3 2 14 2" xfId="33776"/>
    <cellStyle name="40% - Accent2 4 3 2 15" xfId="11657"/>
    <cellStyle name="40% - Accent2 4 3 2 15 2" xfId="34432"/>
    <cellStyle name="40% - Accent2 4 3 2 16" xfId="12313"/>
    <cellStyle name="40% - Accent2 4 3 2 16 2" xfId="35088"/>
    <cellStyle name="40% - Accent2 4 3 2 17" xfId="12969"/>
    <cellStyle name="40% - Accent2 4 3 2 17 2" xfId="35744"/>
    <cellStyle name="40% - Accent2 4 3 2 18" xfId="13625"/>
    <cellStyle name="40% - Accent2 4 3 2 18 2" xfId="36400"/>
    <cellStyle name="40% - Accent2 4 3 2 19" xfId="14281"/>
    <cellStyle name="40% - Accent2 4 3 2 19 2" xfId="37056"/>
    <cellStyle name="40% - Accent2 4 3 2 2" xfId="1489"/>
    <cellStyle name="40% - Accent2 4 3 2 2 2" xfId="3785"/>
    <cellStyle name="40% - Accent2 4 3 2 2 2 2" xfId="26560"/>
    <cellStyle name="40% - Accent2 4 3 2 2 3" xfId="24264"/>
    <cellStyle name="40% - Accent2 4 3 2 20" xfId="14937"/>
    <cellStyle name="40% - Accent2 4 3 2 20 2" xfId="37712"/>
    <cellStyle name="40% - Accent2 4 3 2 21" xfId="15593"/>
    <cellStyle name="40% - Accent2 4 3 2 21 2" xfId="38368"/>
    <cellStyle name="40% - Accent2 4 3 2 22" xfId="16249"/>
    <cellStyle name="40% - Accent2 4 3 2 22 2" xfId="39024"/>
    <cellStyle name="40% - Accent2 4 3 2 23" xfId="16905"/>
    <cellStyle name="40% - Accent2 4 3 2 23 2" xfId="39680"/>
    <cellStyle name="40% - Accent2 4 3 2 24" xfId="17561"/>
    <cellStyle name="40% - Accent2 4 3 2 24 2" xfId="40336"/>
    <cellStyle name="40% - Accent2 4 3 2 25" xfId="18217"/>
    <cellStyle name="40% - Accent2 4 3 2 25 2" xfId="40992"/>
    <cellStyle name="40% - Accent2 4 3 2 26" xfId="18873"/>
    <cellStyle name="40% - Accent2 4 3 2 26 2" xfId="41648"/>
    <cellStyle name="40% - Accent2 4 3 2 27" xfId="19529"/>
    <cellStyle name="40% - Accent2 4 3 2 27 2" xfId="42304"/>
    <cellStyle name="40% - Accent2 4 3 2 28" xfId="20185"/>
    <cellStyle name="40% - Accent2 4 3 2 28 2" xfId="42960"/>
    <cellStyle name="40% - Accent2 4 3 2 29" xfId="20841"/>
    <cellStyle name="40% - Accent2 4 3 2 29 2" xfId="43616"/>
    <cellStyle name="40% - Accent2 4 3 2 3" xfId="2145"/>
    <cellStyle name="40% - Accent2 4 3 2 3 2" xfId="4441"/>
    <cellStyle name="40% - Accent2 4 3 2 3 2 2" xfId="27216"/>
    <cellStyle name="40% - Accent2 4 3 2 3 3" xfId="24920"/>
    <cellStyle name="40% - Accent2 4 3 2 30" xfId="21497"/>
    <cellStyle name="40% - Accent2 4 3 2 30 2" xfId="44272"/>
    <cellStyle name="40% - Accent2 4 3 2 31" xfId="22153"/>
    <cellStyle name="40% - Accent2 4 3 2 31 2" xfId="44928"/>
    <cellStyle name="40% - Accent2 4 3 2 32" xfId="22809"/>
    <cellStyle name="40% - Accent2 4 3 2 32 2" xfId="45584"/>
    <cellStyle name="40% - Accent2 4 3 2 33" xfId="23608"/>
    <cellStyle name="40% - Accent2 4 3 2 4" xfId="5097"/>
    <cellStyle name="40% - Accent2 4 3 2 4 2" xfId="27872"/>
    <cellStyle name="40% - Accent2 4 3 2 5" xfId="5753"/>
    <cellStyle name="40% - Accent2 4 3 2 5 2" xfId="28528"/>
    <cellStyle name="40% - Accent2 4 3 2 6" xfId="6409"/>
    <cellStyle name="40% - Accent2 4 3 2 6 2" xfId="29184"/>
    <cellStyle name="40% - Accent2 4 3 2 7" xfId="3129"/>
    <cellStyle name="40% - Accent2 4 3 2 7 2" xfId="25904"/>
    <cellStyle name="40% - Accent2 4 3 2 8" xfId="7065"/>
    <cellStyle name="40% - Accent2 4 3 2 8 2" xfId="29840"/>
    <cellStyle name="40% - Accent2 4 3 2 9" xfId="7721"/>
    <cellStyle name="40% - Accent2 4 3 2 9 2" xfId="30496"/>
    <cellStyle name="40% - Accent2 4 3 20" xfId="13297"/>
    <cellStyle name="40% - Accent2 4 3 20 2" xfId="36072"/>
    <cellStyle name="40% - Accent2 4 3 21" xfId="13953"/>
    <cellStyle name="40% - Accent2 4 3 21 2" xfId="36728"/>
    <cellStyle name="40% - Accent2 4 3 22" xfId="14609"/>
    <cellStyle name="40% - Accent2 4 3 22 2" xfId="37384"/>
    <cellStyle name="40% - Accent2 4 3 23" xfId="15265"/>
    <cellStyle name="40% - Accent2 4 3 23 2" xfId="38040"/>
    <cellStyle name="40% - Accent2 4 3 24" xfId="15921"/>
    <cellStyle name="40% - Accent2 4 3 24 2" xfId="38696"/>
    <cellStyle name="40% - Accent2 4 3 25" xfId="16577"/>
    <cellStyle name="40% - Accent2 4 3 25 2" xfId="39352"/>
    <cellStyle name="40% - Accent2 4 3 26" xfId="17233"/>
    <cellStyle name="40% - Accent2 4 3 26 2" xfId="40008"/>
    <cellStyle name="40% - Accent2 4 3 27" xfId="17889"/>
    <cellStyle name="40% - Accent2 4 3 27 2" xfId="40664"/>
    <cellStyle name="40% - Accent2 4 3 28" xfId="18545"/>
    <cellStyle name="40% - Accent2 4 3 28 2" xfId="41320"/>
    <cellStyle name="40% - Accent2 4 3 29" xfId="19201"/>
    <cellStyle name="40% - Accent2 4 3 29 2" xfId="41976"/>
    <cellStyle name="40% - Accent2 4 3 3" xfId="1161"/>
    <cellStyle name="40% - Accent2 4 3 3 2" xfId="2801"/>
    <cellStyle name="40% - Accent2 4 3 3 2 2" xfId="25576"/>
    <cellStyle name="40% - Accent2 4 3 3 3" xfId="23936"/>
    <cellStyle name="40% - Accent2 4 3 30" xfId="19857"/>
    <cellStyle name="40% - Accent2 4 3 30 2" xfId="42632"/>
    <cellStyle name="40% - Accent2 4 3 31" xfId="20513"/>
    <cellStyle name="40% - Accent2 4 3 31 2" xfId="43288"/>
    <cellStyle name="40% - Accent2 4 3 32" xfId="21169"/>
    <cellStyle name="40% - Accent2 4 3 32 2" xfId="43944"/>
    <cellStyle name="40% - Accent2 4 3 33" xfId="21825"/>
    <cellStyle name="40% - Accent2 4 3 33 2" xfId="44600"/>
    <cellStyle name="40% - Accent2 4 3 34" xfId="22481"/>
    <cellStyle name="40% - Accent2 4 3 34 2" xfId="45256"/>
    <cellStyle name="40% - Accent2 4 3 35" xfId="23280"/>
    <cellStyle name="40% - Accent2 4 3 4" xfId="1817"/>
    <cellStyle name="40% - Accent2 4 3 4 2" xfId="3457"/>
    <cellStyle name="40% - Accent2 4 3 4 2 2" xfId="26232"/>
    <cellStyle name="40% - Accent2 4 3 4 3" xfId="24592"/>
    <cellStyle name="40% - Accent2 4 3 5" xfId="4113"/>
    <cellStyle name="40% - Accent2 4 3 5 2" xfId="26888"/>
    <cellStyle name="40% - Accent2 4 3 6" xfId="4769"/>
    <cellStyle name="40% - Accent2 4 3 6 2" xfId="27544"/>
    <cellStyle name="40% - Accent2 4 3 7" xfId="5425"/>
    <cellStyle name="40% - Accent2 4 3 7 2" xfId="28200"/>
    <cellStyle name="40% - Accent2 4 3 8" xfId="6081"/>
    <cellStyle name="40% - Accent2 4 3 8 2" xfId="28856"/>
    <cellStyle name="40% - Accent2 4 3 9" xfId="2473"/>
    <cellStyle name="40% - Accent2 4 3 9 2" xfId="25248"/>
    <cellStyle name="40% - Accent2 4 30" xfId="18360"/>
    <cellStyle name="40% - Accent2 4 30 2" xfId="41135"/>
    <cellStyle name="40% - Accent2 4 31" xfId="19016"/>
    <cellStyle name="40% - Accent2 4 31 2" xfId="41791"/>
    <cellStyle name="40% - Accent2 4 32" xfId="19672"/>
    <cellStyle name="40% - Accent2 4 32 2" xfId="42447"/>
    <cellStyle name="40% - Accent2 4 33" xfId="20328"/>
    <cellStyle name="40% - Accent2 4 33 2" xfId="43103"/>
    <cellStyle name="40% - Accent2 4 34" xfId="20984"/>
    <cellStyle name="40% - Accent2 4 34 2" xfId="43759"/>
    <cellStyle name="40% - Accent2 4 35" xfId="21640"/>
    <cellStyle name="40% - Accent2 4 35 2" xfId="44415"/>
    <cellStyle name="40% - Accent2 4 36" xfId="22296"/>
    <cellStyle name="40% - Accent2 4 36 2" xfId="45071"/>
    <cellStyle name="40% - Accent2 4 37" xfId="235"/>
    <cellStyle name="40% - Accent2 4 38" xfId="22952"/>
    <cellStyle name="40% - Accent2 4 4" xfId="648"/>
    <cellStyle name="40% - Accent2 4 4 10" xfId="8192"/>
    <cellStyle name="40% - Accent2 4 4 10 2" xfId="30967"/>
    <cellStyle name="40% - Accent2 4 4 11" xfId="8848"/>
    <cellStyle name="40% - Accent2 4 4 11 2" xfId="31623"/>
    <cellStyle name="40% - Accent2 4 4 12" xfId="9504"/>
    <cellStyle name="40% - Accent2 4 4 12 2" xfId="32279"/>
    <cellStyle name="40% - Accent2 4 4 13" xfId="10160"/>
    <cellStyle name="40% - Accent2 4 4 13 2" xfId="32935"/>
    <cellStyle name="40% - Accent2 4 4 14" xfId="10816"/>
    <cellStyle name="40% - Accent2 4 4 14 2" xfId="33591"/>
    <cellStyle name="40% - Accent2 4 4 15" xfId="11472"/>
    <cellStyle name="40% - Accent2 4 4 15 2" xfId="34247"/>
    <cellStyle name="40% - Accent2 4 4 16" xfId="12128"/>
    <cellStyle name="40% - Accent2 4 4 16 2" xfId="34903"/>
    <cellStyle name="40% - Accent2 4 4 17" xfId="12784"/>
    <cellStyle name="40% - Accent2 4 4 17 2" xfId="35559"/>
    <cellStyle name="40% - Accent2 4 4 18" xfId="13440"/>
    <cellStyle name="40% - Accent2 4 4 18 2" xfId="36215"/>
    <cellStyle name="40% - Accent2 4 4 19" xfId="14096"/>
    <cellStyle name="40% - Accent2 4 4 19 2" xfId="36871"/>
    <cellStyle name="40% - Accent2 4 4 2" xfId="1304"/>
    <cellStyle name="40% - Accent2 4 4 2 2" xfId="3600"/>
    <cellStyle name="40% - Accent2 4 4 2 2 2" xfId="26375"/>
    <cellStyle name="40% - Accent2 4 4 2 3" xfId="24079"/>
    <cellStyle name="40% - Accent2 4 4 20" xfId="14752"/>
    <cellStyle name="40% - Accent2 4 4 20 2" xfId="37527"/>
    <cellStyle name="40% - Accent2 4 4 21" xfId="15408"/>
    <cellStyle name="40% - Accent2 4 4 21 2" xfId="38183"/>
    <cellStyle name="40% - Accent2 4 4 22" xfId="16064"/>
    <cellStyle name="40% - Accent2 4 4 22 2" xfId="38839"/>
    <cellStyle name="40% - Accent2 4 4 23" xfId="16720"/>
    <cellStyle name="40% - Accent2 4 4 23 2" xfId="39495"/>
    <cellStyle name="40% - Accent2 4 4 24" xfId="17376"/>
    <cellStyle name="40% - Accent2 4 4 24 2" xfId="40151"/>
    <cellStyle name="40% - Accent2 4 4 25" xfId="18032"/>
    <cellStyle name="40% - Accent2 4 4 25 2" xfId="40807"/>
    <cellStyle name="40% - Accent2 4 4 26" xfId="18688"/>
    <cellStyle name="40% - Accent2 4 4 26 2" xfId="41463"/>
    <cellStyle name="40% - Accent2 4 4 27" xfId="19344"/>
    <cellStyle name="40% - Accent2 4 4 27 2" xfId="42119"/>
    <cellStyle name="40% - Accent2 4 4 28" xfId="20000"/>
    <cellStyle name="40% - Accent2 4 4 28 2" xfId="42775"/>
    <cellStyle name="40% - Accent2 4 4 29" xfId="20656"/>
    <cellStyle name="40% - Accent2 4 4 29 2" xfId="43431"/>
    <cellStyle name="40% - Accent2 4 4 3" xfId="1960"/>
    <cellStyle name="40% - Accent2 4 4 3 2" xfId="4256"/>
    <cellStyle name="40% - Accent2 4 4 3 2 2" xfId="27031"/>
    <cellStyle name="40% - Accent2 4 4 3 3" xfId="24735"/>
    <cellStyle name="40% - Accent2 4 4 30" xfId="21312"/>
    <cellStyle name="40% - Accent2 4 4 30 2" xfId="44087"/>
    <cellStyle name="40% - Accent2 4 4 31" xfId="21968"/>
    <cellStyle name="40% - Accent2 4 4 31 2" xfId="44743"/>
    <cellStyle name="40% - Accent2 4 4 32" xfId="22624"/>
    <cellStyle name="40% - Accent2 4 4 32 2" xfId="45399"/>
    <cellStyle name="40% - Accent2 4 4 33" xfId="23423"/>
    <cellStyle name="40% - Accent2 4 4 4" xfId="4912"/>
    <cellStyle name="40% - Accent2 4 4 4 2" xfId="27687"/>
    <cellStyle name="40% - Accent2 4 4 5" xfId="5568"/>
    <cellStyle name="40% - Accent2 4 4 5 2" xfId="28343"/>
    <cellStyle name="40% - Accent2 4 4 6" xfId="6224"/>
    <cellStyle name="40% - Accent2 4 4 6 2" xfId="28999"/>
    <cellStyle name="40% - Accent2 4 4 7" xfId="2944"/>
    <cellStyle name="40% - Accent2 4 4 7 2" xfId="25719"/>
    <cellStyle name="40% - Accent2 4 4 8" xfId="6880"/>
    <cellStyle name="40% - Accent2 4 4 8 2" xfId="29655"/>
    <cellStyle name="40% - Accent2 4 4 9" xfId="7536"/>
    <cellStyle name="40% - Accent2 4 4 9 2" xfId="30311"/>
    <cellStyle name="40% - Accent2 4 5" xfId="321"/>
    <cellStyle name="40% - Accent2 4 5 2" xfId="2616"/>
    <cellStyle name="40% - Accent2 4 5 2 2" xfId="25391"/>
    <cellStyle name="40% - Accent2 4 5 3" xfId="23095"/>
    <cellStyle name="40% - Accent2 4 6" xfId="976"/>
    <cellStyle name="40% - Accent2 4 6 2" xfId="3272"/>
    <cellStyle name="40% - Accent2 4 6 2 2" xfId="26047"/>
    <cellStyle name="40% - Accent2 4 6 3" xfId="23751"/>
    <cellStyle name="40% - Accent2 4 7" xfId="1632"/>
    <cellStyle name="40% - Accent2 4 7 2" xfId="3928"/>
    <cellStyle name="40% - Accent2 4 7 2 2" xfId="26703"/>
    <cellStyle name="40% - Accent2 4 7 3" xfId="24407"/>
    <cellStyle name="40% - Accent2 4 8" xfId="4584"/>
    <cellStyle name="40% - Accent2 4 8 2" xfId="27359"/>
    <cellStyle name="40% - Accent2 4 9" xfId="5240"/>
    <cellStyle name="40% - Accent2 4 9 2" xfId="28015"/>
    <cellStyle name="40% - Accent2 40" xfId="20283"/>
    <cellStyle name="40% - Accent2 40 2" xfId="43058"/>
    <cellStyle name="40% - Accent2 41" xfId="20939"/>
    <cellStyle name="40% - Accent2 41 2" xfId="43714"/>
    <cellStyle name="40% - Accent2 42" xfId="21595"/>
    <cellStyle name="40% - Accent2 42 2" xfId="44370"/>
    <cellStyle name="40% - Accent2 43" xfId="22251"/>
    <cellStyle name="40% - Accent2 43 2" xfId="45026"/>
    <cellStyle name="40% - Accent2 44" xfId="190"/>
    <cellStyle name="40% - Accent2 45" xfId="22907"/>
    <cellStyle name="40% - Accent2 5" xfId="104"/>
    <cellStyle name="40% - Accent2 5 10" xfId="5910"/>
    <cellStyle name="40% - Accent2 5 10 2" xfId="28685"/>
    <cellStyle name="40% - Accent2 5 11" xfId="2302"/>
    <cellStyle name="40% - Accent2 5 11 2" xfId="25077"/>
    <cellStyle name="40% - Accent2 5 12" xfId="6566"/>
    <cellStyle name="40% - Accent2 5 12 2" xfId="29341"/>
    <cellStyle name="40% - Accent2 5 13" xfId="7222"/>
    <cellStyle name="40% - Accent2 5 13 2" xfId="29997"/>
    <cellStyle name="40% - Accent2 5 14" xfId="7878"/>
    <cellStyle name="40% - Accent2 5 14 2" xfId="30653"/>
    <cellStyle name="40% - Accent2 5 15" xfId="8534"/>
    <cellStyle name="40% - Accent2 5 15 2" xfId="31309"/>
    <cellStyle name="40% - Accent2 5 16" xfId="9190"/>
    <cellStyle name="40% - Accent2 5 16 2" xfId="31965"/>
    <cellStyle name="40% - Accent2 5 17" xfId="9846"/>
    <cellStyle name="40% - Accent2 5 17 2" xfId="32621"/>
    <cellStyle name="40% - Accent2 5 18" xfId="10502"/>
    <cellStyle name="40% - Accent2 5 18 2" xfId="33277"/>
    <cellStyle name="40% - Accent2 5 19" xfId="11158"/>
    <cellStyle name="40% - Accent2 5 19 2" xfId="33933"/>
    <cellStyle name="40% - Accent2 5 2" xfId="175"/>
    <cellStyle name="40% - Accent2 5 2 10" xfId="2373"/>
    <cellStyle name="40% - Accent2 5 2 10 2" xfId="25148"/>
    <cellStyle name="40% - Accent2 5 2 11" xfId="6637"/>
    <cellStyle name="40% - Accent2 5 2 11 2" xfId="29412"/>
    <cellStyle name="40% - Accent2 5 2 12" xfId="7293"/>
    <cellStyle name="40% - Accent2 5 2 12 2" xfId="30068"/>
    <cellStyle name="40% - Accent2 5 2 13" xfId="7949"/>
    <cellStyle name="40% - Accent2 5 2 13 2" xfId="30724"/>
    <cellStyle name="40% - Accent2 5 2 14" xfId="8605"/>
    <cellStyle name="40% - Accent2 5 2 14 2" xfId="31380"/>
    <cellStyle name="40% - Accent2 5 2 15" xfId="9261"/>
    <cellStyle name="40% - Accent2 5 2 15 2" xfId="32036"/>
    <cellStyle name="40% - Accent2 5 2 16" xfId="9917"/>
    <cellStyle name="40% - Accent2 5 2 16 2" xfId="32692"/>
    <cellStyle name="40% - Accent2 5 2 17" xfId="10573"/>
    <cellStyle name="40% - Accent2 5 2 17 2" xfId="33348"/>
    <cellStyle name="40% - Accent2 5 2 18" xfId="11229"/>
    <cellStyle name="40% - Accent2 5 2 18 2" xfId="34004"/>
    <cellStyle name="40% - Accent2 5 2 19" xfId="11885"/>
    <cellStyle name="40% - Accent2 5 2 19 2" xfId="34660"/>
    <cellStyle name="40% - Accent2 5 2 2" xfId="589"/>
    <cellStyle name="40% - Accent2 5 2 2 10" xfId="6822"/>
    <cellStyle name="40% - Accent2 5 2 2 10 2" xfId="29597"/>
    <cellStyle name="40% - Accent2 5 2 2 11" xfId="7478"/>
    <cellStyle name="40% - Accent2 5 2 2 11 2" xfId="30253"/>
    <cellStyle name="40% - Accent2 5 2 2 12" xfId="8134"/>
    <cellStyle name="40% - Accent2 5 2 2 12 2" xfId="30909"/>
    <cellStyle name="40% - Accent2 5 2 2 13" xfId="8790"/>
    <cellStyle name="40% - Accent2 5 2 2 13 2" xfId="31565"/>
    <cellStyle name="40% - Accent2 5 2 2 14" xfId="9446"/>
    <cellStyle name="40% - Accent2 5 2 2 14 2" xfId="32221"/>
    <cellStyle name="40% - Accent2 5 2 2 15" xfId="10102"/>
    <cellStyle name="40% - Accent2 5 2 2 15 2" xfId="32877"/>
    <cellStyle name="40% - Accent2 5 2 2 16" xfId="10758"/>
    <cellStyle name="40% - Accent2 5 2 2 16 2" xfId="33533"/>
    <cellStyle name="40% - Accent2 5 2 2 17" xfId="11414"/>
    <cellStyle name="40% - Accent2 5 2 2 17 2" xfId="34189"/>
    <cellStyle name="40% - Accent2 5 2 2 18" xfId="12070"/>
    <cellStyle name="40% - Accent2 5 2 2 18 2" xfId="34845"/>
    <cellStyle name="40% - Accent2 5 2 2 19" xfId="12726"/>
    <cellStyle name="40% - Accent2 5 2 2 19 2" xfId="35501"/>
    <cellStyle name="40% - Accent2 5 2 2 2" xfId="918"/>
    <cellStyle name="40% - Accent2 5 2 2 2 10" xfId="8462"/>
    <cellStyle name="40% - Accent2 5 2 2 2 10 2" xfId="31237"/>
    <cellStyle name="40% - Accent2 5 2 2 2 11" xfId="9118"/>
    <cellStyle name="40% - Accent2 5 2 2 2 11 2" xfId="31893"/>
    <cellStyle name="40% - Accent2 5 2 2 2 12" xfId="9774"/>
    <cellStyle name="40% - Accent2 5 2 2 2 12 2" xfId="32549"/>
    <cellStyle name="40% - Accent2 5 2 2 2 13" xfId="10430"/>
    <cellStyle name="40% - Accent2 5 2 2 2 13 2" xfId="33205"/>
    <cellStyle name="40% - Accent2 5 2 2 2 14" xfId="11086"/>
    <cellStyle name="40% - Accent2 5 2 2 2 14 2" xfId="33861"/>
    <cellStyle name="40% - Accent2 5 2 2 2 15" xfId="11742"/>
    <cellStyle name="40% - Accent2 5 2 2 2 15 2" xfId="34517"/>
    <cellStyle name="40% - Accent2 5 2 2 2 16" xfId="12398"/>
    <cellStyle name="40% - Accent2 5 2 2 2 16 2" xfId="35173"/>
    <cellStyle name="40% - Accent2 5 2 2 2 17" xfId="13054"/>
    <cellStyle name="40% - Accent2 5 2 2 2 17 2" xfId="35829"/>
    <cellStyle name="40% - Accent2 5 2 2 2 18" xfId="13710"/>
    <cellStyle name="40% - Accent2 5 2 2 2 18 2" xfId="36485"/>
    <cellStyle name="40% - Accent2 5 2 2 2 19" xfId="14366"/>
    <cellStyle name="40% - Accent2 5 2 2 2 19 2" xfId="37141"/>
    <cellStyle name="40% - Accent2 5 2 2 2 2" xfId="1574"/>
    <cellStyle name="40% - Accent2 5 2 2 2 2 2" xfId="3870"/>
    <cellStyle name="40% - Accent2 5 2 2 2 2 2 2" xfId="26645"/>
    <cellStyle name="40% - Accent2 5 2 2 2 2 3" xfId="24349"/>
    <cellStyle name="40% - Accent2 5 2 2 2 20" xfId="15022"/>
    <cellStyle name="40% - Accent2 5 2 2 2 20 2" xfId="37797"/>
    <cellStyle name="40% - Accent2 5 2 2 2 21" xfId="15678"/>
    <cellStyle name="40% - Accent2 5 2 2 2 21 2" xfId="38453"/>
    <cellStyle name="40% - Accent2 5 2 2 2 22" xfId="16334"/>
    <cellStyle name="40% - Accent2 5 2 2 2 22 2" xfId="39109"/>
    <cellStyle name="40% - Accent2 5 2 2 2 23" xfId="16990"/>
    <cellStyle name="40% - Accent2 5 2 2 2 23 2" xfId="39765"/>
    <cellStyle name="40% - Accent2 5 2 2 2 24" xfId="17646"/>
    <cellStyle name="40% - Accent2 5 2 2 2 24 2" xfId="40421"/>
    <cellStyle name="40% - Accent2 5 2 2 2 25" xfId="18302"/>
    <cellStyle name="40% - Accent2 5 2 2 2 25 2" xfId="41077"/>
    <cellStyle name="40% - Accent2 5 2 2 2 26" xfId="18958"/>
    <cellStyle name="40% - Accent2 5 2 2 2 26 2" xfId="41733"/>
    <cellStyle name="40% - Accent2 5 2 2 2 27" xfId="19614"/>
    <cellStyle name="40% - Accent2 5 2 2 2 27 2" xfId="42389"/>
    <cellStyle name="40% - Accent2 5 2 2 2 28" xfId="20270"/>
    <cellStyle name="40% - Accent2 5 2 2 2 28 2" xfId="43045"/>
    <cellStyle name="40% - Accent2 5 2 2 2 29" xfId="20926"/>
    <cellStyle name="40% - Accent2 5 2 2 2 29 2" xfId="43701"/>
    <cellStyle name="40% - Accent2 5 2 2 2 3" xfId="2230"/>
    <cellStyle name="40% - Accent2 5 2 2 2 3 2" xfId="4526"/>
    <cellStyle name="40% - Accent2 5 2 2 2 3 2 2" xfId="27301"/>
    <cellStyle name="40% - Accent2 5 2 2 2 3 3" xfId="25005"/>
    <cellStyle name="40% - Accent2 5 2 2 2 30" xfId="21582"/>
    <cellStyle name="40% - Accent2 5 2 2 2 30 2" xfId="44357"/>
    <cellStyle name="40% - Accent2 5 2 2 2 31" xfId="22238"/>
    <cellStyle name="40% - Accent2 5 2 2 2 31 2" xfId="45013"/>
    <cellStyle name="40% - Accent2 5 2 2 2 32" xfId="22894"/>
    <cellStyle name="40% - Accent2 5 2 2 2 32 2" xfId="45669"/>
    <cellStyle name="40% - Accent2 5 2 2 2 33" xfId="23693"/>
    <cellStyle name="40% - Accent2 5 2 2 2 4" xfId="5182"/>
    <cellStyle name="40% - Accent2 5 2 2 2 4 2" xfId="27957"/>
    <cellStyle name="40% - Accent2 5 2 2 2 5" xfId="5838"/>
    <cellStyle name="40% - Accent2 5 2 2 2 5 2" xfId="28613"/>
    <cellStyle name="40% - Accent2 5 2 2 2 6" xfId="6494"/>
    <cellStyle name="40% - Accent2 5 2 2 2 6 2" xfId="29269"/>
    <cellStyle name="40% - Accent2 5 2 2 2 7" xfId="3214"/>
    <cellStyle name="40% - Accent2 5 2 2 2 7 2" xfId="25989"/>
    <cellStyle name="40% - Accent2 5 2 2 2 8" xfId="7150"/>
    <cellStyle name="40% - Accent2 5 2 2 2 8 2" xfId="29925"/>
    <cellStyle name="40% - Accent2 5 2 2 2 9" xfId="7806"/>
    <cellStyle name="40% - Accent2 5 2 2 2 9 2" xfId="30581"/>
    <cellStyle name="40% - Accent2 5 2 2 20" xfId="13382"/>
    <cellStyle name="40% - Accent2 5 2 2 20 2" xfId="36157"/>
    <cellStyle name="40% - Accent2 5 2 2 21" xfId="14038"/>
    <cellStyle name="40% - Accent2 5 2 2 21 2" xfId="36813"/>
    <cellStyle name="40% - Accent2 5 2 2 22" xfId="14694"/>
    <cellStyle name="40% - Accent2 5 2 2 22 2" xfId="37469"/>
    <cellStyle name="40% - Accent2 5 2 2 23" xfId="15350"/>
    <cellStyle name="40% - Accent2 5 2 2 23 2" xfId="38125"/>
    <cellStyle name="40% - Accent2 5 2 2 24" xfId="16006"/>
    <cellStyle name="40% - Accent2 5 2 2 24 2" xfId="38781"/>
    <cellStyle name="40% - Accent2 5 2 2 25" xfId="16662"/>
    <cellStyle name="40% - Accent2 5 2 2 25 2" xfId="39437"/>
    <cellStyle name="40% - Accent2 5 2 2 26" xfId="17318"/>
    <cellStyle name="40% - Accent2 5 2 2 26 2" xfId="40093"/>
    <cellStyle name="40% - Accent2 5 2 2 27" xfId="17974"/>
    <cellStyle name="40% - Accent2 5 2 2 27 2" xfId="40749"/>
    <cellStyle name="40% - Accent2 5 2 2 28" xfId="18630"/>
    <cellStyle name="40% - Accent2 5 2 2 28 2" xfId="41405"/>
    <cellStyle name="40% - Accent2 5 2 2 29" xfId="19286"/>
    <cellStyle name="40% - Accent2 5 2 2 29 2" xfId="42061"/>
    <cellStyle name="40% - Accent2 5 2 2 3" xfId="1246"/>
    <cellStyle name="40% - Accent2 5 2 2 3 2" xfId="2886"/>
    <cellStyle name="40% - Accent2 5 2 2 3 2 2" xfId="25661"/>
    <cellStyle name="40% - Accent2 5 2 2 3 3" xfId="24021"/>
    <cellStyle name="40% - Accent2 5 2 2 30" xfId="19942"/>
    <cellStyle name="40% - Accent2 5 2 2 30 2" xfId="42717"/>
    <cellStyle name="40% - Accent2 5 2 2 31" xfId="20598"/>
    <cellStyle name="40% - Accent2 5 2 2 31 2" xfId="43373"/>
    <cellStyle name="40% - Accent2 5 2 2 32" xfId="21254"/>
    <cellStyle name="40% - Accent2 5 2 2 32 2" xfId="44029"/>
    <cellStyle name="40% - Accent2 5 2 2 33" xfId="21910"/>
    <cellStyle name="40% - Accent2 5 2 2 33 2" xfId="44685"/>
    <cellStyle name="40% - Accent2 5 2 2 34" xfId="22566"/>
    <cellStyle name="40% - Accent2 5 2 2 34 2" xfId="45341"/>
    <cellStyle name="40% - Accent2 5 2 2 35" xfId="23365"/>
    <cellStyle name="40% - Accent2 5 2 2 4" xfId="1902"/>
    <cellStyle name="40% - Accent2 5 2 2 4 2" xfId="3542"/>
    <cellStyle name="40% - Accent2 5 2 2 4 2 2" xfId="26317"/>
    <cellStyle name="40% - Accent2 5 2 2 4 3" xfId="24677"/>
    <cellStyle name="40% - Accent2 5 2 2 5" xfId="4198"/>
    <cellStyle name="40% - Accent2 5 2 2 5 2" xfId="26973"/>
    <cellStyle name="40% - Accent2 5 2 2 6" xfId="4854"/>
    <cellStyle name="40% - Accent2 5 2 2 6 2" xfId="27629"/>
    <cellStyle name="40% - Accent2 5 2 2 7" xfId="5510"/>
    <cellStyle name="40% - Accent2 5 2 2 7 2" xfId="28285"/>
    <cellStyle name="40% - Accent2 5 2 2 8" xfId="6166"/>
    <cellStyle name="40% - Accent2 5 2 2 8 2" xfId="28941"/>
    <cellStyle name="40% - Accent2 5 2 2 9" xfId="2558"/>
    <cellStyle name="40% - Accent2 5 2 2 9 2" xfId="25333"/>
    <cellStyle name="40% - Accent2 5 2 20" xfId="12541"/>
    <cellStyle name="40% - Accent2 5 2 20 2" xfId="35316"/>
    <cellStyle name="40% - Accent2 5 2 21" xfId="13197"/>
    <cellStyle name="40% - Accent2 5 2 21 2" xfId="35972"/>
    <cellStyle name="40% - Accent2 5 2 22" xfId="13853"/>
    <cellStyle name="40% - Accent2 5 2 22 2" xfId="36628"/>
    <cellStyle name="40% - Accent2 5 2 23" xfId="14509"/>
    <cellStyle name="40% - Accent2 5 2 23 2" xfId="37284"/>
    <cellStyle name="40% - Accent2 5 2 24" xfId="15165"/>
    <cellStyle name="40% - Accent2 5 2 24 2" xfId="37940"/>
    <cellStyle name="40% - Accent2 5 2 25" xfId="15821"/>
    <cellStyle name="40% - Accent2 5 2 25 2" xfId="38596"/>
    <cellStyle name="40% - Accent2 5 2 26" xfId="16477"/>
    <cellStyle name="40% - Accent2 5 2 26 2" xfId="39252"/>
    <cellStyle name="40% - Accent2 5 2 27" xfId="17133"/>
    <cellStyle name="40% - Accent2 5 2 27 2" xfId="39908"/>
    <cellStyle name="40% - Accent2 5 2 28" xfId="17789"/>
    <cellStyle name="40% - Accent2 5 2 28 2" xfId="40564"/>
    <cellStyle name="40% - Accent2 5 2 29" xfId="18445"/>
    <cellStyle name="40% - Accent2 5 2 29 2" xfId="41220"/>
    <cellStyle name="40% - Accent2 5 2 3" xfId="733"/>
    <cellStyle name="40% - Accent2 5 2 3 10" xfId="8277"/>
    <cellStyle name="40% - Accent2 5 2 3 10 2" xfId="31052"/>
    <cellStyle name="40% - Accent2 5 2 3 11" xfId="8933"/>
    <cellStyle name="40% - Accent2 5 2 3 11 2" xfId="31708"/>
    <cellStyle name="40% - Accent2 5 2 3 12" xfId="9589"/>
    <cellStyle name="40% - Accent2 5 2 3 12 2" xfId="32364"/>
    <cellStyle name="40% - Accent2 5 2 3 13" xfId="10245"/>
    <cellStyle name="40% - Accent2 5 2 3 13 2" xfId="33020"/>
    <cellStyle name="40% - Accent2 5 2 3 14" xfId="10901"/>
    <cellStyle name="40% - Accent2 5 2 3 14 2" xfId="33676"/>
    <cellStyle name="40% - Accent2 5 2 3 15" xfId="11557"/>
    <cellStyle name="40% - Accent2 5 2 3 15 2" xfId="34332"/>
    <cellStyle name="40% - Accent2 5 2 3 16" xfId="12213"/>
    <cellStyle name="40% - Accent2 5 2 3 16 2" xfId="34988"/>
    <cellStyle name="40% - Accent2 5 2 3 17" xfId="12869"/>
    <cellStyle name="40% - Accent2 5 2 3 17 2" xfId="35644"/>
    <cellStyle name="40% - Accent2 5 2 3 18" xfId="13525"/>
    <cellStyle name="40% - Accent2 5 2 3 18 2" xfId="36300"/>
    <cellStyle name="40% - Accent2 5 2 3 19" xfId="14181"/>
    <cellStyle name="40% - Accent2 5 2 3 19 2" xfId="36956"/>
    <cellStyle name="40% - Accent2 5 2 3 2" xfId="1389"/>
    <cellStyle name="40% - Accent2 5 2 3 2 2" xfId="3685"/>
    <cellStyle name="40% - Accent2 5 2 3 2 2 2" xfId="26460"/>
    <cellStyle name="40% - Accent2 5 2 3 2 3" xfId="24164"/>
    <cellStyle name="40% - Accent2 5 2 3 20" xfId="14837"/>
    <cellStyle name="40% - Accent2 5 2 3 20 2" xfId="37612"/>
    <cellStyle name="40% - Accent2 5 2 3 21" xfId="15493"/>
    <cellStyle name="40% - Accent2 5 2 3 21 2" xfId="38268"/>
    <cellStyle name="40% - Accent2 5 2 3 22" xfId="16149"/>
    <cellStyle name="40% - Accent2 5 2 3 22 2" xfId="38924"/>
    <cellStyle name="40% - Accent2 5 2 3 23" xfId="16805"/>
    <cellStyle name="40% - Accent2 5 2 3 23 2" xfId="39580"/>
    <cellStyle name="40% - Accent2 5 2 3 24" xfId="17461"/>
    <cellStyle name="40% - Accent2 5 2 3 24 2" xfId="40236"/>
    <cellStyle name="40% - Accent2 5 2 3 25" xfId="18117"/>
    <cellStyle name="40% - Accent2 5 2 3 25 2" xfId="40892"/>
    <cellStyle name="40% - Accent2 5 2 3 26" xfId="18773"/>
    <cellStyle name="40% - Accent2 5 2 3 26 2" xfId="41548"/>
    <cellStyle name="40% - Accent2 5 2 3 27" xfId="19429"/>
    <cellStyle name="40% - Accent2 5 2 3 27 2" xfId="42204"/>
    <cellStyle name="40% - Accent2 5 2 3 28" xfId="20085"/>
    <cellStyle name="40% - Accent2 5 2 3 28 2" xfId="42860"/>
    <cellStyle name="40% - Accent2 5 2 3 29" xfId="20741"/>
    <cellStyle name="40% - Accent2 5 2 3 29 2" xfId="43516"/>
    <cellStyle name="40% - Accent2 5 2 3 3" xfId="2045"/>
    <cellStyle name="40% - Accent2 5 2 3 3 2" xfId="4341"/>
    <cellStyle name="40% - Accent2 5 2 3 3 2 2" xfId="27116"/>
    <cellStyle name="40% - Accent2 5 2 3 3 3" xfId="24820"/>
    <cellStyle name="40% - Accent2 5 2 3 30" xfId="21397"/>
    <cellStyle name="40% - Accent2 5 2 3 30 2" xfId="44172"/>
    <cellStyle name="40% - Accent2 5 2 3 31" xfId="22053"/>
    <cellStyle name="40% - Accent2 5 2 3 31 2" xfId="44828"/>
    <cellStyle name="40% - Accent2 5 2 3 32" xfId="22709"/>
    <cellStyle name="40% - Accent2 5 2 3 32 2" xfId="45484"/>
    <cellStyle name="40% - Accent2 5 2 3 33" xfId="23508"/>
    <cellStyle name="40% - Accent2 5 2 3 4" xfId="4997"/>
    <cellStyle name="40% - Accent2 5 2 3 4 2" xfId="27772"/>
    <cellStyle name="40% - Accent2 5 2 3 5" xfId="5653"/>
    <cellStyle name="40% - Accent2 5 2 3 5 2" xfId="28428"/>
    <cellStyle name="40% - Accent2 5 2 3 6" xfId="6309"/>
    <cellStyle name="40% - Accent2 5 2 3 6 2" xfId="29084"/>
    <cellStyle name="40% - Accent2 5 2 3 7" xfId="3029"/>
    <cellStyle name="40% - Accent2 5 2 3 7 2" xfId="25804"/>
    <cellStyle name="40% - Accent2 5 2 3 8" xfId="6965"/>
    <cellStyle name="40% - Accent2 5 2 3 8 2" xfId="29740"/>
    <cellStyle name="40% - Accent2 5 2 3 9" xfId="7621"/>
    <cellStyle name="40% - Accent2 5 2 3 9 2" xfId="30396"/>
    <cellStyle name="40% - Accent2 5 2 30" xfId="19101"/>
    <cellStyle name="40% - Accent2 5 2 30 2" xfId="41876"/>
    <cellStyle name="40% - Accent2 5 2 31" xfId="19757"/>
    <cellStyle name="40% - Accent2 5 2 31 2" xfId="42532"/>
    <cellStyle name="40% - Accent2 5 2 32" xfId="20413"/>
    <cellStyle name="40% - Accent2 5 2 32 2" xfId="43188"/>
    <cellStyle name="40% - Accent2 5 2 33" xfId="21069"/>
    <cellStyle name="40% - Accent2 5 2 33 2" xfId="43844"/>
    <cellStyle name="40% - Accent2 5 2 34" xfId="21725"/>
    <cellStyle name="40% - Accent2 5 2 34 2" xfId="44500"/>
    <cellStyle name="40% - Accent2 5 2 35" xfId="22381"/>
    <cellStyle name="40% - Accent2 5 2 35 2" xfId="45156"/>
    <cellStyle name="40% - Accent2 5 2 36" xfId="23037"/>
    <cellStyle name="40% - Accent2 5 2 4" xfId="406"/>
    <cellStyle name="40% - Accent2 5 2 4 2" xfId="2701"/>
    <cellStyle name="40% - Accent2 5 2 4 2 2" xfId="25476"/>
    <cellStyle name="40% - Accent2 5 2 4 3" xfId="23180"/>
    <cellStyle name="40% - Accent2 5 2 5" xfId="1061"/>
    <cellStyle name="40% - Accent2 5 2 5 2" xfId="3357"/>
    <cellStyle name="40% - Accent2 5 2 5 2 2" xfId="26132"/>
    <cellStyle name="40% - Accent2 5 2 5 3" xfId="23836"/>
    <cellStyle name="40% - Accent2 5 2 6" xfId="1717"/>
    <cellStyle name="40% - Accent2 5 2 6 2" xfId="4013"/>
    <cellStyle name="40% - Accent2 5 2 6 2 2" xfId="26788"/>
    <cellStyle name="40% - Accent2 5 2 6 3" xfId="24492"/>
    <cellStyle name="40% - Accent2 5 2 7" xfId="4669"/>
    <cellStyle name="40% - Accent2 5 2 7 2" xfId="27444"/>
    <cellStyle name="40% - Accent2 5 2 8" xfId="5325"/>
    <cellStyle name="40% - Accent2 5 2 8 2" xfId="28100"/>
    <cellStyle name="40% - Accent2 5 2 9" xfId="5981"/>
    <cellStyle name="40% - Accent2 5 2 9 2" xfId="28756"/>
    <cellStyle name="40% - Accent2 5 20" xfId="11814"/>
    <cellStyle name="40% - Accent2 5 20 2" xfId="34589"/>
    <cellStyle name="40% - Accent2 5 21" xfId="12470"/>
    <cellStyle name="40% - Accent2 5 21 2" xfId="35245"/>
    <cellStyle name="40% - Accent2 5 22" xfId="13126"/>
    <cellStyle name="40% - Accent2 5 22 2" xfId="35901"/>
    <cellStyle name="40% - Accent2 5 23" xfId="13782"/>
    <cellStyle name="40% - Accent2 5 23 2" xfId="36557"/>
    <cellStyle name="40% - Accent2 5 24" xfId="14438"/>
    <cellStyle name="40% - Accent2 5 24 2" xfId="37213"/>
    <cellStyle name="40% - Accent2 5 25" xfId="15094"/>
    <cellStyle name="40% - Accent2 5 25 2" xfId="37869"/>
    <cellStyle name="40% - Accent2 5 26" xfId="15750"/>
    <cellStyle name="40% - Accent2 5 26 2" xfId="38525"/>
    <cellStyle name="40% - Accent2 5 27" xfId="16406"/>
    <cellStyle name="40% - Accent2 5 27 2" xfId="39181"/>
    <cellStyle name="40% - Accent2 5 28" xfId="17062"/>
    <cellStyle name="40% - Accent2 5 28 2" xfId="39837"/>
    <cellStyle name="40% - Accent2 5 29" xfId="17718"/>
    <cellStyle name="40% - Accent2 5 29 2" xfId="40493"/>
    <cellStyle name="40% - Accent2 5 3" xfId="519"/>
    <cellStyle name="40% - Accent2 5 3 10" xfId="6751"/>
    <cellStyle name="40% - Accent2 5 3 10 2" xfId="29526"/>
    <cellStyle name="40% - Accent2 5 3 11" xfId="7407"/>
    <cellStyle name="40% - Accent2 5 3 11 2" xfId="30182"/>
    <cellStyle name="40% - Accent2 5 3 12" xfId="8063"/>
    <cellStyle name="40% - Accent2 5 3 12 2" xfId="30838"/>
    <cellStyle name="40% - Accent2 5 3 13" xfId="8719"/>
    <cellStyle name="40% - Accent2 5 3 13 2" xfId="31494"/>
    <cellStyle name="40% - Accent2 5 3 14" xfId="9375"/>
    <cellStyle name="40% - Accent2 5 3 14 2" xfId="32150"/>
    <cellStyle name="40% - Accent2 5 3 15" xfId="10031"/>
    <cellStyle name="40% - Accent2 5 3 15 2" xfId="32806"/>
    <cellStyle name="40% - Accent2 5 3 16" xfId="10687"/>
    <cellStyle name="40% - Accent2 5 3 16 2" xfId="33462"/>
    <cellStyle name="40% - Accent2 5 3 17" xfId="11343"/>
    <cellStyle name="40% - Accent2 5 3 17 2" xfId="34118"/>
    <cellStyle name="40% - Accent2 5 3 18" xfId="11999"/>
    <cellStyle name="40% - Accent2 5 3 18 2" xfId="34774"/>
    <cellStyle name="40% - Accent2 5 3 19" xfId="12655"/>
    <cellStyle name="40% - Accent2 5 3 19 2" xfId="35430"/>
    <cellStyle name="40% - Accent2 5 3 2" xfId="847"/>
    <cellStyle name="40% - Accent2 5 3 2 10" xfId="8391"/>
    <cellStyle name="40% - Accent2 5 3 2 10 2" xfId="31166"/>
    <cellStyle name="40% - Accent2 5 3 2 11" xfId="9047"/>
    <cellStyle name="40% - Accent2 5 3 2 11 2" xfId="31822"/>
    <cellStyle name="40% - Accent2 5 3 2 12" xfId="9703"/>
    <cellStyle name="40% - Accent2 5 3 2 12 2" xfId="32478"/>
    <cellStyle name="40% - Accent2 5 3 2 13" xfId="10359"/>
    <cellStyle name="40% - Accent2 5 3 2 13 2" xfId="33134"/>
    <cellStyle name="40% - Accent2 5 3 2 14" xfId="11015"/>
    <cellStyle name="40% - Accent2 5 3 2 14 2" xfId="33790"/>
    <cellStyle name="40% - Accent2 5 3 2 15" xfId="11671"/>
    <cellStyle name="40% - Accent2 5 3 2 15 2" xfId="34446"/>
    <cellStyle name="40% - Accent2 5 3 2 16" xfId="12327"/>
    <cellStyle name="40% - Accent2 5 3 2 16 2" xfId="35102"/>
    <cellStyle name="40% - Accent2 5 3 2 17" xfId="12983"/>
    <cellStyle name="40% - Accent2 5 3 2 17 2" xfId="35758"/>
    <cellStyle name="40% - Accent2 5 3 2 18" xfId="13639"/>
    <cellStyle name="40% - Accent2 5 3 2 18 2" xfId="36414"/>
    <cellStyle name="40% - Accent2 5 3 2 19" xfId="14295"/>
    <cellStyle name="40% - Accent2 5 3 2 19 2" xfId="37070"/>
    <cellStyle name="40% - Accent2 5 3 2 2" xfId="1503"/>
    <cellStyle name="40% - Accent2 5 3 2 2 2" xfId="3799"/>
    <cellStyle name="40% - Accent2 5 3 2 2 2 2" xfId="26574"/>
    <cellStyle name="40% - Accent2 5 3 2 2 3" xfId="24278"/>
    <cellStyle name="40% - Accent2 5 3 2 20" xfId="14951"/>
    <cellStyle name="40% - Accent2 5 3 2 20 2" xfId="37726"/>
    <cellStyle name="40% - Accent2 5 3 2 21" xfId="15607"/>
    <cellStyle name="40% - Accent2 5 3 2 21 2" xfId="38382"/>
    <cellStyle name="40% - Accent2 5 3 2 22" xfId="16263"/>
    <cellStyle name="40% - Accent2 5 3 2 22 2" xfId="39038"/>
    <cellStyle name="40% - Accent2 5 3 2 23" xfId="16919"/>
    <cellStyle name="40% - Accent2 5 3 2 23 2" xfId="39694"/>
    <cellStyle name="40% - Accent2 5 3 2 24" xfId="17575"/>
    <cellStyle name="40% - Accent2 5 3 2 24 2" xfId="40350"/>
    <cellStyle name="40% - Accent2 5 3 2 25" xfId="18231"/>
    <cellStyle name="40% - Accent2 5 3 2 25 2" xfId="41006"/>
    <cellStyle name="40% - Accent2 5 3 2 26" xfId="18887"/>
    <cellStyle name="40% - Accent2 5 3 2 26 2" xfId="41662"/>
    <cellStyle name="40% - Accent2 5 3 2 27" xfId="19543"/>
    <cellStyle name="40% - Accent2 5 3 2 27 2" xfId="42318"/>
    <cellStyle name="40% - Accent2 5 3 2 28" xfId="20199"/>
    <cellStyle name="40% - Accent2 5 3 2 28 2" xfId="42974"/>
    <cellStyle name="40% - Accent2 5 3 2 29" xfId="20855"/>
    <cellStyle name="40% - Accent2 5 3 2 29 2" xfId="43630"/>
    <cellStyle name="40% - Accent2 5 3 2 3" xfId="2159"/>
    <cellStyle name="40% - Accent2 5 3 2 3 2" xfId="4455"/>
    <cellStyle name="40% - Accent2 5 3 2 3 2 2" xfId="27230"/>
    <cellStyle name="40% - Accent2 5 3 2 3 3" xfId="24934"/>
    <cellStyle name="40% - Accent2 5 3 2 30" xfId="21511"/>
    <cellStyle name="40% - Accent2 5 3 2 30 2" xfId="44286"/>
    <cellStyle name="40% - Accent2 5 3 2 31" xfId="22167"/>
    <cellStyle name="40% - Accent2 5 3 2 31 2" xfId="44942"/>
    <cellStyle name="40% - Accent2 5 3 2 32" xfId="22823"/>
    <cellStyle name="40% - Accent2 5 3 2 32 2" xfId="45598"/>
    <cellStyle name="40% - Accent2 5 3 2 33" xfId="23622"/>
    <cellStyle name="40% - Accent2 5 3 2 4" xfId="5111"/>
    <cellStyle name="40% - Accent2 5 3 2 4 2" xfId="27886"/>
    <cellStyle name="40% - Accent2 5 3 2 5" xfId="5767"/>
    <cellStyle name="40% - Accent2 5 3 2 5 2" xfId="28542"/>
    <cellStyle name="40% - Accent2 5 3 2 6" xfId="6423"/>
    <cellStyle name="40% - Accent2 5 3 2 6 2" xfId="29198"/>
    <cellStyle name="40% - Accent2 5 3 2 7" xfId="3143"/>
    <cellStyle name="40% - Accent2 5 3 2 7 2" xfId="25918"/>
    <cellStyle name="40% - Accent2 5 3 2 8" xfId="7079"/>
    <cellStyle name="40% - Accent2 5 3 2 8 2" xfId="29854"/>
    <cellStyle name="40% - Accent2 5 3 2 9" xfId="7735"/>
    <cellStyle name="40% - Accent2 5 3 2 9 2" xfId="30510"/>
    <cellStyle name="40% - Accent2 5 3 20" xfId="13311"/>
    <cellStyle name="40% - Accent2 5 3 20 2" xfId="36086"/>
    <cellStyle name="40% - Accent2 5 3 21" xfId="13967"/>
    <cellStyle name="40% - Accent2 5 3 21 2" xfId="36742"/>
    <cellStyle name="40% - Accent2 5 3 22" xfId="14623"/>
    <cellStyle name="40% - Accent2 5 3 22 2" xfId="37398"/>
    <cellStyle name="40% - Accent2 5 3 23" xfId="15279"/>
    <cellStyle name="40% - Accent2 5 3 23 2" xfId="38054"/>
    <cellStyle name="40% - Accent2 5 3 24" xfId="15935"/>
    <cellStyle name="40% - Accent2 5 3 24 2" xfId="38710"/>
    <cellStyle name="40% - Accent2 5 3 25" xfId="16591"/>
    <cellStyle name="40% - Accent2 5 3 25 2" xfId="39366"/>
    <cellStyle name="40% - Accent2 5 3 26" xfId="17247"/>
    <cellStyle name="40% - Accent2 5 3 26 2" xfId="40022"/>
    <cellStyle name="40% - Accent2 5 3 27" xfId="17903"/>
    <cellStyle name="40% - Accent2 5 3 27 2" xfId="40678"/>
    <cellStyle name="40% - Accent2 5 3 28" xfId="18559"/>
    <cellStyle name="40% - Accent2 5 3 28 2" xfId="41334"/>
    <cellStyle name="40% - Accent2 5 3 29" xfId="19215"/>
    <cellStyle name="40% - Accent2 5 3 29 2" xfId="41990"/>
    <cellStyle name="40% - Accent2 5 3 3" xfId="1175"/>
    <cellStyle name="40% - Accent2 5 3 3 2" xfId="2815"/>
    <cellStyle name="40% - Accent2 5 3 3 2 2" xfId="25590"/>
    <cellStyle name="40% - Accent2 5 3 3 3" xfId="23950"/>
    <cellStyle name="40% - Accent2 5 3 30" xfId="19871"/>
    <cellStyle name="40% - Accent2 5 3 30 2" xfId="42646"/>
    <cellStyle name="40% - Accent2 5 3 31" xfId="20527"/>
    <cellStyle name="40% - Accent2 5 3 31 2" xfId="43302"/>
    <cellStyle name="40% - Accent2 5 3 32" xfId="21183"/>
    <cellStyle name="40% - Accent2 5 3 32 2" xfId="43958"/>
    <cellStyle name="40% - Accent2 5 3 33" xfId="21839"/>
    <cellStyle name="40% - Accent2 5 3 33 2" xfId="44614"/>
    <cellStyle name="40% - Accent2 5 3 34" xfId="22495"/>
    <cellStyle name="40% - Accent2 5 3 34 2" xfId="45270"/>
    <cellStyle name="40% - Accent2 5 3 35" xfId="23294"/>
    <cellStyle name="40% - Accent2 5 3 4" xfId="1831"/>
    <cellStyle name="40% - Accent2 5 3 4 2" xfId="3471"/>
    <cellStyle name="40% - Accent2 5 3 4 2 2" xfId="26246"/>
    <cellStyle name="40% - Accent2 5 3 4 3" xfId="24606"/>
    <cellStyle name="40% - Accent2 5 3 5" xfId="4127"/>
    <cellStyle name="40% - Accent2 5 3 5 2" xfId="26902"/>
    <cellStyle name="40% - Accent2 5 3 6" xfId="4783"/>
    <cellStyle name="40% - Accent2 5 3 6 2" xfId="27558"/>
    <cellStyle name="40% - Accent2 5 3 7" xfId="5439"/>
    <cellStyle name="40% - Accent2 5 3 7 2" xfId="28214"/>
    <cellStyle name="40% - Accent2 5 3 8" xfId="6095"/>
    <cellStyle name="40% - Accent2 5 3 8 2" xfId="28870"/>
    <cellStyle name="40% - Accent2 5 3 9" xfId="2487"/>
    <cellStyle name="40% - Accent2 5 3 9 2" xfId="25262"/>
    <cellStyle name="40% - Accent2 5 30" xfId="18374"/>
    <cellStyle name="40% - Accent2 5 30 2" xfId="41149"/>
    <cellStyle name="40% - Accent2 5 31" xfId="19030"/>
    <cellStyle name="40% - Accent2 5 31 2" xfId="41805"/>
    <cellStyle name="40% - Accent2 5 32" xfId="19686"/>
    <cellStyle name="40% - Accent2 5 32 2" xfId="42461"/>
    <cellStyle name="40% - Accent2 5 33" xfId="20342"/>
    <cellStyle name="40% - Accent2 5 33 2" xfId="43117"/>
    <cellStyle name="40% - Accent2 5 34" xfId="20998"/>
    <cellStyle name="40% - Accent2 5 34 2" xfId="43773"/>
    <cellStyle name="40% - Accent2 5 35" xfId="21654"/>
    <cellStyle name="40% - Accent2 5 35 2" xfId="44429"/>
    <cellStyle name="40% - Accent2 5 36" xfId="22310"/>
    <cellStyle name="40% - Accent2 5 36 2" xfId="45085"/>
    <cellStyle name="40% - Accent2 5 37" xfId="249"/>
    <cellStyle name="40% - Accent2 5 38" xfId="22966"/>
    <cellStyle name="40% - Accent2 5 4" xfId="662"/>
    <cellStyle name="40% - Accent2 5 4 10" xfId="8206"/>
    <cellStyle name="40% - Accent2 5 4 10 2" xfId="30981"/>
    <cellStyle name="40% - Accent2 5 4 11" xfId="8862"/>
    <cellStyle name="40% - Accent2 5 4 11 2" xfId="31637"/>
    <cellStyle name="40% - Accent2 5 4 12" xfId="9518"/>
    <cellStyle name="40% - Accent2 5 4 12 2" xfId="32293"/>
    <cellStyle name="40% - Accent2 5 4 13" xfId="10174"/>
    <cellStyle name="40% - Accent2 5 4 13 2" xfId="32949"/>
    <cellStyle name="40% - Accent2 5 4 14" xfId="10830"/>
    <cellStyle name="40% - Accent2 5 4 14 2" xfId="33605"/>
    <cellStyle name="40% - Accent2 5 4 15" xfId="11486"/>
    <cellStyle name="40% - Accent2 5 4 15 2" xfId="34261"/>
    <cellStyle name="40% - Accent2 5 4 16" xfId="12142"/>
    <cellStyle name="40% - Accent2 5 4 16 2" xfId="34917"/>
    <cellStyle name="40% - Accent2 5 4 17" xfId="12798"/>
    <cellStyle name="40% - Accent2 5 4 17 2" xfId="35573"/>
    <cellStyle name="40% - Accent2 5 4 18" xfId="13454"/>
    <cellStyle name="40% - Accent2 5 4 18 2" xfId="36229"/>
    <cellStyle name="40% - Accent2 5 4 19" xfId="14110"/>
    <cellStyle name="40% - Accent2 5 4 19 2" xfId="36885"/>
    <cellStyle name="40% - Accent2 5 4 2" xfId="1318"/>
    <cellStyle name="40% - Accent2 5 4 2 2" xfId="3614"/>
    <cellStyle name="40% - Accent2 5 4 2 2 2" xfId="26389"/>
    <cellStyle name="40% - Accent2 5 4 2 3" xfId="24093"/>
    <cellStyle name="40% - Accent2 5 4 20" xfId="14766"/>
    <cellStyle name="40% - Accent2 5 4 20 2" xfId="37541"/>
    <cellStyle name="40% - Accent2 5 4 21" xfId="15422"/>
    <cellStyle name="40% - Accent2 5 4 21 2" xfId="38197"/>
    <cellStyle name="40% - Accent2 5 4 22" xfId="16078"/>
    <cellStyle name="40% - Accent2 5 4 22 2" xfId="38853"/>
    <cellStyle name="40% - Accent2 5 4 23" xfId="16734"/>
    <cellStyle name="40% - Accent2 5 4 23 2" xfId="39509"/>
    <cellStyle name="40% - Accent2 5 4 24" xfId="17390"/>
    <cellStyle name="40% - Accent2 5 4 24 2" xfId="40165"/>
    <cellStyle name="40% - Accent2 5 4 25" xfId="18046"/>
    <cellStyle name="40% - Accent2 5 4 25 2" xfId="40821"/>
    <cellStyle name="40% - Accent2 5 4 26" xfId="18702"/>
    <cellStyle name="40% - Accent2 5 4 26 2" xfId="41477"/>
    <cellStyle name="40% - Accent2 5 4 27" xfId="19358"/>
    <cellStyle name="40% - Accent2 5 4 27 2" xfId="42133"/>
    <cellStyle name="40% - Accent2 5 4 28" xfId="20014"/>
    <cellStyle name="40% - Accent2 5 4 28 2" xfId="42789"/>
    <cellStyle name="40% - Accent2 5 4 29" xfId="20670"/>
    <cellStyle name="40% - Accent2 5 4 29 2" xfId="43445"/>
    <cellStyle name="40% - Accent2 5 4 3" xfId="1974"/>
    <cellStyle name="40% - Accent2 5 4 3 2" xfId="4270"/>
    <cellStyle name="40% - Accent2 5 4 3 2 2" xfId="27045"/>
    <cellStyle name="40% - Accent2 5 4 3 3" xfId="24749"/>
    <cellStyle name="40% - Accent2 5 4 30" xfId="21326"/>
    <cellStyle name="40% - Accent2 5 4 30 2" xfId="44101"/>
    <cellStyle name="40% - Accent2 5 4 31" xfId="21982"/>
    <cellStyle name="40% - Accent2 5 4 31 2" xfId="44757"/>
    <cellStyle name="40% - Accent2 5 4 32" xfId="22638"/>
    <cellStyle name="40% - Accent2 5 4 32 2" xfId="45413"/>
    <cellStyle name="40% - Accent2 5 4 33" xfId="23437"/>
    <cellStyle name="40% - Accent2 5 4 4" xfId="4926"/>
    <cellStyle name="40% - Accent2 5 4 4 2" xfId="27701"/>
    <cellStyle name="40% - Accent2 5 4 5" xfId="5582"/>
    <cellStyle name="40% - Accent2 5 4 5 2" xfId="28357"/>
    <cellStyle name="40% - Accent2 5 4 6" xfId="6238"/>
    <cellStyle name="40% - Accent2 5 4 6 2" xfId="29013"/>
    <cellStyle name="40% - Accent2 5 4 7" xfId="2958"/>
    <cellStyle name="40% - Accent2 5 4 7 2" xfId="25733"/>
    <cellStyle name="40% - Accent2 5 4 8" xfId="6894"/>
    <cellStyle name="40% - Accent2 5 4 8 2" xfId="29669"/>
    <cellStyle name="40% - Accent2 5 4 9" xfId="7550"/>
    <cellStyle name="40% - Accent2 5 4 9 2" xfId="30325"/>
    <cellStyle name="40% - Accent2 5 5" xfId="335"/>
    <cellStyle name="40% - Accent2 5 5 2" xfId="2630"/>
    <cellStyle name="40% - Accent2 5 5 2 2" xfId="25405"/>
    <cellStyle name="40% - Accent2 5 5 3" xfId="23109"/>
    <cellStyle name="40% - Accent2 5 6" xfId="990"/>
    <cellStyle name="40% - Accent2 5 6 2" xfId="3286"/>
    <cellStyle name="40% - Accent2 5 6 2 2" xfId="26061"/>
    <cellStyle name="40% - Accent2 5 6 3" xfId="23765"/>
    <cellStyle name="40% - Accent2 5 7" xfId="1646"/>
    <cellStyle name="40% - Accent2 5 7 2" xfId="3942"/>
    <cellStyle name="40% - Accent2 5 7 2 2" xfId="26717"/>
    <cellStyle name="40% - Accent2 5 7 3" xfId="24421"/>
    <cellStyle name="40% - Accent2 5 8" xfId="4598"/>
    <cellStyle name="40% - Accent2 5 8 2" xfId="27373"/>
    <cellStyle name="40% - Accent2 5 9" xfId="5254"/>
    <cellStyle name="40% - Accent2 5 9 2" xfId="28029"/>
    <cellStyle name="40% - Accent2 6" xfId="117"/>
    <cellStyle name="40% - Accent2 6 10" xfId="2315"/>
    <cellStyle name="40% - Accent2 6 10 2" xfId="25090"/>
    <cellStyle name="40% - Accent2 6 11" xfId="6579"/>
    <cellStyle name="40% - Accent2 6 11 2" xfId="29354"/>
    <cellStyle name="40% - Accent2 6 12" xfId="7235"/>
    <cellStyle name="40% - Accent2 6 12 2" xfId="30010"/>
    <cellStyle name="40% - Accent2 6 13" xfId="7891"/>
    <cellStyle name="40% - Accent2 6 13 2" xfId="30666"/>
    <cellStyle name="40% - Accent2 6 14" xfId="8547"/>
    <cellStyle name="40% - Accent2 6 14 2" xfId="31322"/>
    <cellStyle name="40% - Accent2 6 15" xfId="9203"/>
    <cellStyle name="40% - Accent2 6 15 2" xfId="31978"/>
    <cellStyle name="40% - Accent2 6 16" xfId="9859"/>
    <cellStyle name="40% - Accent2 6 16 2" xfId="32634"/>
    <cellStyle name="40% - Accent2 6 17" xfId="10515"/>
    <cellStyle name="40% - Accent2 6 17 2" xfId="33290"/>
    <cellStyle name="40% - Accent2 6 18" xfId="11171"/>
    <cellStyle name="40% - Accent2 6 18 2" xfId="33946"/>
    <cellStyle name="40% - Accent2 6 19" xfId="11827"/>
    <cellStyle name="40% - Accent2 6 19 2" xfId="34602"/>
    <cellStyle name="40% - Accent2 6 2" xfId="531"/>
    <cellStyle name="40% - Accent2 6 2 10" xfId="6764"/>
    <cellStyle name="40% - Accent2 6 2 10 2" xfId="29539"/>
    <cellStyle name="40% - Accent2 6 2 11" xfId="7420"/>
    <cellStyle name="40% - Accent2 6 2 11 2" xfId="30195"/>
    <cellStyle name="40% - Accent2 6 2 12" xfId="8076"/>
    <cellStyle name="40% - Accent2 6 2 12 2" xfId="30851"/>
    <cellStyle name="40% - Accent2 6 2 13" xfId="8732"/>
    <cellStyle name="40% - Accent2 6 2 13 2" xfId="31507"/>
    <cellStyle name="40% - Accent2 6 2 14" xfId="9388"/>
    <cellStyle name="40% - Accent2 6 2 14 2" xfId="32163"/>
    <cellStyle name="40% - Accent2 6 2 15" xfId="10044"/>
    <cellStyle name="40% - Accent2 6 2 15 2" xfId="32819"/>
    <cellStyle name="40% - Accent2 6 2 16" xfId="10700"/>
    <cellStyle name="40% - Accent2 6 2 16 2" xfId="33475"/>
    <cellStyle name="40% - Accent2 6 2 17" xfId="11356"/>
    <cellStyle name="40% - Accent2 6 2 17 2" xfId="34131"/>
    <cellStyle name="40% - Accent2 6 2 18" xfId="12012"/>
    <cellStyle name="40% - Accent2 6 2 18 2" xfId="34787"/>
    <cellStyle name="40% - Accent2 6 2 19" xfId="12668"/>
    <cellStyle name="40% - Accent2 6 2 19 2" xfId="35443"/>
    <cellStyle name="40% - Accent2 6 2 2" xfId="860"/>
    <cellStyle name="40% - Accent2 6 2 2 10" xfId="8404"/>
    <cellStyle name="40% - Accent2 6 2 2 10 2" xfId="31179"/>
    <cellStyle name="40% - Accent2 6 2 2 11" xfId="9060"/>
    <cellStyle name="40% - Accent2 6 2 2 11 2" xfId="31835"/>
    <cellStyle name="40% - Accent2 6 2 2 12" xfId="9716"/>
    <cellStyle name="40% - Accent2 6 2 2 12 2" xfId="32491"/>
    <cellStyle name="40% - Accent2 6 2 2 13" xfId="10372"/>
    <cellStyle name="40% - Accent2 6 2 2 13 2" xfId="33147"/>
    <cellStyle name="40% - Accent2 6 2 2 14" xfId="11028"/>
    <cellStyle name="40% - Accent2 6 2 2 14 2" xfId="33803"/>
    <cellStyle name="40% - Accent2 6 2 2 15" xfId="11684"/>
    <cellStyle name="40% - Accent2 6 2 2 15 2" xfId="34459"/>
    <cellStyle name="40% - Accent2 6 2 2 16" xfId="12340"/>
    <cellStyle name="40% - Accent2 6 2 2 16 2" xfId="35115"/>
    <cellStyle name="40% - Accent2 6 2 2 17" xfId="12996"/>
    <cellStyle name="40% - Accent2 6 2 2 17 2" xfId="35771"/>
    <cellStyle name="40% - Accent2 6 2 2 18" xfId="13652"/>
    <cellStyle name="40% - Accent2 6 2 2 18 2" xfId="36427"/>
    <cellStyle name="40% - Accent2 6 2 2 19" xfId="14308"/>
    <cellStyle name="40% - Accent2 6 2 2 19 2" xfId="37083"/>
    <cellStyle name="40% - Accent2 6 2 2 2" xfId="1516"/>
    <cellStyle name="40% - Accent2 6 2 2 2 2" xfId="3812"/>
    <cellStyle name="40% - Accent2 6 2 2 2 2 2" xfId="26587"/>
    <cellStyle name="40% - Accent2 6 2 2 2 3" xfId="24291"/>
    <cellStyle name="40% - Accent2 6 2 2 20" xfId="14964"/>
    <cellStyle name="40% - Accent2 6 2 2 20 2" xfId="37739"/>
    <cellStyle name="40% - Accent2 6 2 2 21" xfId="15620"/>
    <cellStyle name="40% - Accent2 6 2 2 21 2" xfId="38395"/>
    <cellStyle name="40% - Accent2 6 2 2 22" xfId="16276"/>
    <cellStyle name="40% - Accent2 6 2 2 22 2" xfId="39051"/>
    <cellStyle name="40% - Accent2 6 2 2 23" xfId="16932"/>
    <cellStyle name="40% - Accent2 6 2 2 23 2" xfId="39707"/>
    <cellStyle name="40% - Accent2 6 2 2 24" xfId="17588"/>
    <cellStyle name="40% - Accent2 6 2 2 24 2" xfId="40363"/>
    <cellStyle name="40% - Accent2 6 2 2 25" xfId="18244"/>
    <cellStyle name="40% - Accent2 6 2 2 25 2" xfId="41019"/>
    <cellStyle name="40% - Accent2 6 2 2 26" xfId="18900"/>
    <cellStyle name="40% - Accent2 6 2 2 26 2" xfId="41675"/>
    <cellStyle name="40% - Accent2 6 2 2 27" xfId="19556"/>
    <cellStyle name="40% - Accent2 6 2 2 27 2" xfId="42331"/>
    <cellStyle name="40% - Accent2 6 2 2 28" xfId="20212"/>
    <cellStyle name="40% - Accent2 6 2 2 28 2" xfId="42987"/>
    <cellStyle name="40% - Accent2 6 2 2 29" xfId="20868"/>
    <cellStyle name="40% - Accent2 6 2 2 29 2" xfId="43643"/>
    <cellStyle name="40% - Accent2 6 2 2 3" xfId="2172"/>
    <cellStyle name="40% - Accent2 6 2 2 3 2" xfId="4468"/>
    <cellStyle name="40% - Accent2 6 2 2 3 2 2" xfId="27243"/>
    <cellStyle name="40% - Accent2 6 2 2 3 3" xfId="24947"/>
    <cellStyle name="40% - Accent2 6 2 2 30" xfId="21524"/>
    <cellStyle name="40% - Accent2 6 2 2 30 2" xfId="44299"/>
    <cellStyle name="40% - Accent2 6 2 2 31" xfId="22180"/>
    <cellStyle name="40% - Accent2 6 2 2 31 2" xfId="44955"/>
    <cellStyle name="40% - Accent2 6 2 2 32" xfId="22836"/>
    <cellStyle name="40% - Accent2 6 2 2 32 2" xfId="45611"/>
    <cellStyle name="40% - Accent2 6 2 2 33" xfId="23635"/>
    <cellStyle name="40% - Accent2 6 2 2 4" xfId="5124"/>
    <cellStyle name="40% - Accent2 6 2 2 4 2" xfId="27899"/>
    <cellStyle name="40% - Accent2 6 2 2 5" xfId="5780"/>
    <cellStyle name="40% - Accent2 6 2 2 5 2" xfId="28555"/>
    <cellStyle name="40% - Accent2 6 2 2 6" xfId="6436"/>
    <cellStyle name="40% - Accent2 6 2 2 6 2" xfId="29211"/>
    <cellStyle name="40% - Accent2 6 2 2 7" xfId="3156"/>
    <cellStyle name="40% - Accent2 6 2 2 7 2" xfId="25931"/>
    <cellStyle name="40% - Accent2 6 2 2 8" xfId="7092"/>
    <cellStyle name="40% - Accent2 6 2 2 8 2" xfId="29867"/>
    <cellStyle name="40% - Accent2 6 2 2 9" xfId="7748"/>
    <cellStyle name="40% - Accent2 6 2 2 9 2" xfId="30523"/>
    <cellStyle name="40% - Accent2 6 2 20" xfId="13324"/>
    <cellStyle name="40% - Accent2 6 2 20 2" xfId="36099"/>
    <cellStyle name="40% - Accent2 6 2 21" xfId="13980"/>
    <cellStyle name="40% - Accent2 6 2 21 2" xfId="36755"/>
    <cellStyle name="40% - Accent2 6 2 22" xfId="14636"/>
    <cellStyle name="40% - Accent2 6 2 22 2" xfId="37411"/>
    <cellStyle name="40% - Accent2 6 2 23" xfId="15292"/>
    <cellStyle name="40% - Accent2 6 2 23 2" xfId="38067"/>
    <cellStyle name="40% - Accent2 6 2 24" xfId="15948"/>
    <cellStyle name="40% - Accent2 6 2 24 2" xfId="38723"/>
    <cellStyle name="40% - Accent2 6 2 25" xfId="16604"/>
    <cellStyle name="40% - Accent2 6 2 25 2" xfId="39379"/>
    <cellStyle name="40% - Accent2 6 2 26" xfId="17260"/>
    <cellStyle name="40% - Accent2 6 2 26 2" xfId="40035"/>
    <cellStyle name="40% - Accent2 6 2 27" xfId="17916"/>
    <cellStyle name="40% - Accent2 6 2 27 2" xfId="40691"/>
    <cellStyle name="40% - Accent2 6 2 28" xfId="18572"/>
    <cellStyle name="40% - Accent2 6 2 28 2" xfId="41347"/>
    <cellStyle name="40% - Accent2 6 2 29" xfId="19228"/>
    <cellStyle name="40% - Accent2 6 2 29 2" xfId="42003"/>
    <cellStyle name="40% - Accent2 6 2 3" xfId="1188"/>
    <cellStyle name="40% - Accent2 6 2 3 2" xfId="2828"/>
    <cellStyle name="40% - Accent2 6 2 3 2 2" xfId="25603"/>
    <cellStyle name="40% - Accent2 6 2 3 3" xfId="23963"/>
    <cellStyle name="40% - Accent2 6 2 30" xfId="19884"/>
    <cellStyle name="40% - Accent2 6 2 30 2" xfId="42659"/>
    <cellStyle name="40% - Accent2 6 2 31" xfId="20540"/>
    <cellStyle name="40% - Accent2 6 2 31 2" xfId="43315"/>
    <cellStyle name="40% - Accent2 6 2 32" xfId="21196"/>
    <cellStyle name="40% - Accent2 6 2 32 2" xfId="43971"/>
    <cellStyle name="40% - Accent2 6 2 33" xfId="21852"/>
    <cellStyle name="40% - Accent2 6 2 33 2" xfId="44627"/>
    <cellStyle name="40% - Accent2 6 2 34" xfId="22508"/>
    <cellStyle name="40% - Accent2 6 2 34 2" xfId="45283"/>
    <cellStyle name="40% - Accent2 6 2 35" xfId="23307"/>
    <cellStyle name="40% - Accent2 6 2 4" xfId="1844"/>
    <cellStyle name="40% - Accent2 6 2 4 2" xfId="3484"/>
    <cellStyle name="40% - Accent2 6 2 4 2 2" xfId="26259"/>
    <cellStyle name="40% - Accent2 6 2 4 3" xfId="24619"/>
    <cellStyle name="40% - Accent2 6 2 5" xfId="4140"/>
    <cellStyle name="40% - Accent2 6 2 5 2" xfId="26915"/>
    <cellStyle name="40% - Accent2 6 2 6" xfId="4796"/>
    <cellStyle name="40% - Accent2 6 2 6 2" xfId="27571"/>
    <cellStyle name="40% - Accent2 6 2 7" xfId="5452"/>
    <cellStyle name="40% - Accent2 6 2 7 2" xfId="28227"/>
    <cellStyle name="40% - Accent2 6 2 8" xfId="6108"/>
    <cellStyle name="40% - Accent2 6 2 8 2" xfId="28883"/>
    <cellStyle name="40% - Accent2 6 2 9" xfId="2500"/>
    <cellStyle name="40% - Accent2 6 2 9 2" xfId="25275"/>
    <cellStyle name="40% - Accent2 6 20" xfId="12483"/>
    <cellStyle name="40% - Accent2 6 20 2" xfId="35258"/>
    <cellStyle name="40% - Accent2 6 21" xfId="13139"/>
    <cellStyle name="40% - Accent2 6 21 2" xfId="35914"/>
    <cellStyle name="40% - Accent2 6 22" xfId="13795"/>
    <cellStyle name="40% - Accent2 6 22 2" xfId="36570"/>
    <cellStyle name="40% - Accent2 6 23" xfId="14451"/>
    <cellStyle name="40% - Accent2 6 23 2" xfId="37226"/>
    <cellStyle name="40% - Accent2 6 24" xfId="15107"/>
    <cellStyle name="40% - Accent2 6 24 2" xfId="37882"/>
    <cellStyle name="40% - Accent2 6 25" xfId="15763"/>
    <cellStyle name="40% - Accent2 6 25 2" xfId="38538"/>
    <cellStyle name="40% - Accent2 6 26" xfId="16419"/>
    <cellStyle name="40% - Accent2 6 26 2" xfId="39194"/>
    <cellStyle name="40% - Accent2 6 27" xfId="17075"/>
    <cellStyle name="40% - Accent2 6 27 2" xfId="39850"/>
    <cellStyle name="40% - Accent2 6 28" xfId="17731"/>
    <cellStyle name="40% - Accent2 6 28 2" xfId="40506"/>
    <cellStyle name="40% - Accent2 6 29" xfId="18387"/>
    <cellStyle name="40% - Accent2 6 29 2" xfId="41162"/>
    <cellStyle name="40% - Accent2 6 3" xfId="675"/>
    <cellStyle name="40% - Accent2 6 3 10" xfId="8219"/>
    <cellStyle name="40% - Accent2 6 3 10 2" xfId="30994"/>
    <cellStyle name="40% - Accent2 6 3 11" xfId="8875"/>
    <cellStyle name="40% - Accent2 6 3 11 2" xfId="31650"/>
    <cellStyle name="40% - Accent2 6 3 12" xfId="9531"/>
    <cellStyle name="40% - Accent2 6 3 12 2" xfId="32306"/>
    <cellStyle name="40% - Accent2 6 3 13" xfId="10187"/>
    <cellStyle name="40% - Accent2 6 3 13 2" xfId="32962"/>
    <cellStyle name="40% - Accent2 6 3 14" xfId="10843"/>
    <cellStyle name="40% - Accent2 6 3 14 2" xfId="33618"/>
    <cellStyle name="40% - Accent2 6 3 15" xfId="11499"/>
    <cellStyle name="40% - Accent2 6 3 15 2" xfId="34274"/>
    <cellStyle name="40% - Accent2 6 3 16" xfId="12155"/>
    <cellStyle name="40% - Accent2 6 3 16 2" xfId="34930"/>
    <cellStyle name="40% - Accent2 6 3 17" xfId="12811"/>
    <cellStyle name="40% - Accent2 6 3 17 2" xfId="35586"/>
    <cellStyle name="40% - Accent2 6 3 18" xfId="13467"/>
    <cellStyle name="40% - Accent2 6 3 18 2" xfId="36242"/>
    <cellStyle name="40% - Accent2 6 3 19" xfId="14123"/>
    <cellStyle name="40% - Accent2 6 3 19 2" xfId="36898"/>
    <cellStyle name="40% - Accent2 6 3 2" xfId="1331"/>
    <cellStyle name="40% - Accent2 6 3 2 2" xfId="3627"/>
    <cellStyle name="40% - Accent2 6 3 2 2 2" xfId="26402"/>
    <cellStyle name="40% - Accent2 6 3 2 3" xfId="24106"/>
    <cellStyle name="40% - Accent2 6 3 20" xfId="14779"/>
    <cellStyle name="40% - Accent2 6 3 20 2" xfId="37554"/>
    <cellStyle name="40% - Accent2 6 3 21" xfId="15435"/>
    <cellStyle name="40% - Accent2 6 3 21 2" xfId="38210"/>
    <cellStyle name="40% - Accent2 6 3 22" xfId="16091"/>
    <cellStyle name="40% - Accent2 6 3 22 2" xfId="38866"/>
    <cellStyle name="40% - Accent2 6 3 23" xfId="16747"/>
    <cellStyle name="40% - Accent2 6 3 23 2" xfId="39522"/>
    <cellStyle name="40% - Accent2 6 3 24" xfId="17403"/>
    <cellStyle name="40% - Accent2 6 3 24 2" xfId="40178"/>
    <cellStyle name="40% - Accent2 6 3 25" xfId="18059"/>
    <cellStyle name="40% - Accent2 6 3 25 2" xfId="40834"/>
    <cellStyle name="40% - Accent2 6 3 26" xfId="18715"/>
    <cellStyle name="40% - Accent2 6 3 26 2" xfId="41490"/>
    <cellStyle name="40% - Accent2 6 3 27" xfId="19371"/>
    <cellStyle name="40% - Accent2 6 3 27 2" xfId="42146"/>
    <cellStyle name="40% - Accent2 6 3 28" xfId="20027"/>
    <cellStyle name="40% - Accent2 6 3 28 2" xfId="42802"/>
    <cellStyle name="40% - Accent2 6 3 29" xfId="20683"/>
    <cellStyle name="40% - Accent2 6 3 29 2" xfId="43458"/>
    <cellStyle name="40% - Accent2 6 3 3" xfId="1987"/>
    <cellStyle name="40% - Accent2 6 3 3 2" xfId="4283"/>
    <cellStyle name="40% - Accent2 6 3 3 2 2" xfId="27058"/>
    <cellStyle name="40% - Accent2 6 3 3 3" xfId="24762"/>
    <cellStyle name="40% - Accent2 6 3 30" xfId="21339"/>
    <cellStyle name="40% - Accent2 6 3 30 2" xfId="44114"/>
    <cellStyle name="40% - Accent2 6 3 31" xfId="21995"/>
    <cellStyle name="40% - Accent2 6 3 31 2" xfId="44770"/>
    <cellStyle name="40% - Accent2 6 3 32" xfId="22651"/>
    <cellStyle name="40% - Accent2 6 3 32 2" xfId="45426"/>
    <cellStyle name="40% - Accent2 6 3 33" xfId="23450"/>
    <cellStyle name="40% - Accent2 6 3 4" xfId="4939"/>
    <cellStyle name="40% - Accent2 6 3 4 2" xfId="27714"/>
    <cellStyle name="40% - Accent2 6 3 5" xfId="5595"/>
    <cellStyle name="40% - Accent2 6 3 5 2" xfId="28370"/>
    <cellStyle name="40% - Accent2 6 3 6" xfId="6251"/>
    <cellStyle name="40% - Accent2 6 3 6 2" xfId="29026"/>
    <cellStyle name="40% - Accent2 6 3 7" xfId="2971"/>
    <cellStyle name="40% - Accent2 6 3 7 2" xfId="25746"/>
    <cellStyle name="40% - Accent2 6 3 8" xfId="6907"/>
    <cellStyle name="40% - Accent2 6 3 8 2" xfId="29682"/>
    <cellStyle name="40% - Accent2 6 3 9" xfId="7563"/>
    <cellStyle name="40% - Accent2 6 3 9 2" xfId="30338"/>
    <cellStyle name="40% - Accent2 6 30" xfId="19043"/>
    <cellStyle name="40% - Accent2 6 30 2" xfId="41818"/>
    <cellStyle name="40% - Accent2 6 31" xfId="19699"/>
    <cellStyle name="40% - Accent2 6 31 2" xfId="42474"/>
    <cellStyle name="40% - Accent2 6 32" xfId="20355"/>
    <cellStyle name="40% - Accent2 6 32 2" xfId="43130"/>
    <cellStyle name="40% - Accent2 6 33" xfId="21011"/>
    <cellStyle name="40% - Accent2 6 33 2" xfId="43786"/>
    <cellStyle name="40% - Accent2 6 34" xfId="21667"/>
    <cellStyle name="40% - Accent2 6 34 2" xfId="44442"/>
    <cellStyle name="40% - Accent2 6 35" xfId="22323"/>
    <cellStyle name="40% - Accent2 6 35 2" xfId="45098"/>
    <cellStyle name="40% - Accent2 6 36" xfId="262"/>
    <cellStyle name="40% - Accent2 6 37" xfId="22979"/>
    <cellStyle name="40% - Accent2 6 4" xfId="348"/>
    <cellStyle name="40% - Accent2 6 4 2" xfId="2643"/>
    <cellStyle name="40% - Accent2 6 4 2 2" xfId="25418"/>
    <cellStyle name="40% - Accent2 6 4 3" xfId="23122"/>
    <cellStyle name="40% - Accent2 6 5" xfId="1003"/>
    <cellStyle name="40% - Accent2 6 5 2" xfId="3299"/>
    <cellStyle name="40% - Accent2 6 5 2 2" xfId="26074"/>
    <cellStyle name="40% - Accent2 6 5 3" xfId="23778"/>
    <cellStyle name="40% - Accent2 6 6" xfId="1659"/>
    <cellStyle name="40% - Accent2 6 6 2" xfId="3955"/>
    <cellStyle name="40% - Accent2 6 6 2 2" xfId="26730"/>
    <cellStyle name="40% - Accent2 6 6 3" xfId="24434"/>
    <cellStyle name="40% - Accent2 6 7" xfId="4611"/>
    <cellStyle name="40% - Accent2 6 7 2" xfId="27386"/>
    <cellStyle name="40% - Accent2 6 8" xfId="5267"/>
    <cellStyle name="40% - Accent2 6 8 2" xfId="28042"/>
    <cellStyle name="40% - Accent2 6 9" xfId="5923"/>
    <cellStyle name="40% - Accent2 6 9 2" xfId="28698"/>
    <cellStyle name="40% - Accent2 7" xfId="421"/>
    <cellStyle name="40% - Accent2 7 10" xfId="6652"/>
    <cellStyle name="40% - Accent2 7 10 2" xfId="29427"/>
    <cellStyle name="40% - Accent2 7 11" xfId="7308"/>
    <cellStyle name="40% - Accent2 7 11 2" xfId="30083"/>
    <cellStyle name="40% - Accent2 7 12" xfId="7964"/>
    <cellStyle name="40% - Accent2 7 12 2" xfId="30739"/>
    <cellStyle name="40% - Accent2 7 13" xfId="8620"/>
    <cellStyle name="40% - Accent2 7 13 2" xfId="31395"/>
    <cellStyle name="40% - Accent2 7 14" xfId="9276"/>
    <cellStyle name="40% - Accent2 7 14 2" xfId="32051"/>
    <cellStyle name="40% - Accent2 7 15" xfId="9932"/>
    <cellStyle name="40% - Accent2 7 15 2" xfId="32707"/>
    <cellStyle name="40% - Accent2 7 16" xfId="10588"/>
    <cellStyle name="40% - Accent2 7 16 2" xfId="33363"/>
    <cellStyle name="40% - Accent2 7 17" xfId="11244"/>
    <cellStyle name="40% - Accent2 7 17 2" xfId="34019"/>
    <cellStyle name="40% - Accent2 7 18" xfId="11900"/>
    <cellStyle name="40% - Accent2 7 18 2" xfId="34675"/>
    <cellStyle name="40% - Accent2 7 19" xfId="12556"/>
    <cellStyle name="40% - Accent2 7 19 2" xfId="35331"/>
    <cellStyle name="40% - Accent2 7 2" xfId="748"/>
    <cellStyle name="40% - Accent2 7 2 10" xfId="8292"/>
    <cellStyle name="40% - Accent2 7 2 10 2" xfId="31067"/>
    <cellStyle name="40% - Accent2 7 2 11" xfId="8948"/>
    <cellStyle name="40% - Accent2 7 2 11 2" xfId="31723"/>
    <cellStyle name="40% - Accent2 7 2 12" xfId="9604"/>
    <cellStyle name="40% - Accent2 7 2 12 2" xfId="32379"/>
    <cellStyle name="40% - Accent2 7 2 13" xfId="10260"/>
    <cellStyle name="40% - Accent2 7 2 13 2" xfId="33035"/>
    <cellStyle name="40% - Accent2 7 2 14" xfId="10916"/>
    <cellStyle name="40% - Accent2 7 2 14 2" xfId="33691"/>
    <cellStyle name="40% - Accent2 7 2 15" xfId="11572"/>
    <cellStyle name="40% - Accent2 7 2 15 2" xfId="34347"/>
    <cellStyle name="40% - Accent2 7 2 16" xfId="12228"/>
    <cellStyle name="40% - Accent2 7 2 16 2" xfId="35003"/>
    <cellStyle name="40% - Accent2 7 2 17" xfId="12884"/>
    <cellStyle name="40% - Accent2 7 2 17 2" xfId="35659"/>
    <cellStyle name="40% - Accent2 7 2 18" xfId="13540"/>
    <cellStyle name="40% - Accent2 7 2 18 2" xfId="36315"/>
    <cellStyle name="40% - Accent2 7 2 19" xfId="14196"/>
    <cellStyle name="40% - Accent2 7 2 19 2" xfId="36971"/>
    <cellStyle name="40% - Accent2 7 2 2" xfId="1404"/>
    <cellStyle name="40% - Accent2 7 2 2 2" xfId="3700"/>
    <cellStyle name="40% - Accent2 7 2 2 2 2" xfId="26475"/>
    <cellStyle name="40% - Accent2 7 2 2 3" xfId="24179"/>
    <cellStyle name="40% - Accent2 7 2 20" xfId="14852"/>
    <cellStyle name="40% - Accent2 7 2 20 2" xfId="37627"/>
    <cellStyle name="40% - Accent2 7 2 21" xfId="15508"/>
    <cellStyle name="40% - Accent2 7 2 21 2" xfId="38283"/>
    <cellStyle name="40% - Accent2 7 2 22" xfId="16164"/>
    <cellStyle name="40% - Accent2 7 2 22 2" xfId="38939"/>
    <cellStyle name="40% - Accent2 7 2 23" xfId="16820"/>
    <cellStyle name="40% - Accent2 7 2 23 2" xfId="39595"/>
    <cellStyle name="40% - Accent2 7 2 24" xfId="17476"/>
    <cellStyle name="40% - Accent2 7 2 24 2" xfId="40251"/>
    <cellStyle name="40% - Accent2 7 2 25" xfId="18132"/>
    <cellStyle name="40% - Accent2 7 2 25 2" xfId="40907"/>
    <cellStyle name="40% - Accent2 7 2 26" xfId="18788"/>
    <cellStyle name="40% - Accent2 7 2 26 2" xfId="41563"/>
    <cellStyle name="40% - Accent2 7 2 27" xfId="19444"/>
    <cellStyle name="40% - Accent2 7 2 27 2" xfId="42219"/>
    <cellStyle name="40% - Accent2 7 2 28" xfId="20100"/>
    <cellStyle name="40% - Accent2 7 2 28 2" xfId="42875"/>
    <cellStyle name="40% - Accent2 7 2 29" xfId="20756"/>
    <cellStyle name="40% - Accent2 7 2 29 2" xfId="43531"/>
    <cellStyle name="40% - Accent2 7 2 3" xfId="2060"/>
    <cellStyle name="40% - Accent2 7 2 3 2" xfId="4356"/>
    <cellStyle name="40% - Accent2 7 2 3 2 2" xfId="27131"/>
    <cellStyle name="40% - Accent2 7 2 3 3" xfId="24835"/>
    <cellStyle name="40% - Accent2 7 2 30" xfId="21412"/>
    <cellStyle name="40% - Accent2 7 2 30 2" xfId="44187"/>
    <cellStyle name="40% - Accent2 7 2 31" xfId="22068"/>
    <cellStyle name="40% - Accent2 7 2 31 2" xfId="44843"/>
    <cellStyle name="40% - Accent2 7 2 32" xfId="22724"/>
    <cellStyle name="40% - Accent2 7 2 32 2" xfId="45499"/>
    <cellStyle name="40% - Accent2 7 2 33" xfId="23523"/>
    <cellStyle name="40% - Accent2 7 2 4" xfId="5012"/>
    <cellStyle name="40% - Accent2 7 2 4 2" xfId="27787"/>
    <cellStyle name="40% - Accent2 7 2 5" xfId="5668"/>
    <cellStyle name="40% - Accent2 7 2 5 2" xfId="28443"/>
    <cellStyle name="40% - Accent2 7 2 6" xfId="6324"/>
    <cellStyle name="40% - Accent2 7 2 6 2" xfId="29099"/>
    <cellStyle name="40% - Accent2 7 2 7" xfId="3044"/>
    <cellStyle name="40% - Accent2 7 2 7 2" xfId="25819"/>
    <cellStyle name="40% - Accent2 7 2 8" xfId="6980"/>
    <cellStyle name="40% - Accent2 7 2 8 2" xfId="29755"/>
    <cellStyle name="40% - Accent2 7 2 9" xfId="7636"/>
    <cellStyle name="40% - Accent2 7 2 9 2" xfId="30411"/>
    <cellStyle name="40% - Accent2 7 20" xfId="13212"/>
    <cellStyle name="40% - Accent2 7 20 2" xfId="35987"/>
    <cellStyle name="40% - Accent2 7 21" xfId="13868"/>
    <cellStyle name="40% - Accent2 7 21 2" xfId="36643"/>
    <cellStyle name="40% - Accent2 7 22" xfId="14524"/>
    <cellStyle name="40% - Accent2 7 22 2" xfId="37299"/>
    <cellStyle name="40% - Accent2 7 23" xfId="15180"/>
    <cellStyle name="40% - Accent2 7 23 2" xfId="37955"/>
    <cellStyle name="40% - Accent2 7 24" xfId="15836"/>
    <cellStyle name="40% - Accent2 7 24 2" xfId="38611"/>
    <cellStyle name="40% - Accent2 7 25" xfId="16492"/>
    <cellStyle name="40% - Accent2 7 25 2" xfId="39267"/>
    <cellStyle name="40% - Accent2 7 26" xfId="17148"/>
    <cellStyle name="40% - Accent2 7 26 2" xfId="39923"/>
    <cellStyle name="40% - Accent2 7 27" xfId="17804"/>
    <cellStyle name="40% - Accent2 7 27 2" xfId="40579"/>
    <cellStyle name="40% - Accent2 7 28" xfId="18460"/>
    <cellStyle name="40% - Accent2 7 28 2" xfId="41235"/>
    <cellStyle name="40% - Accent2 7 29" xfId="19116"/>
    <cellStyle name="40% - Accent2 7 29 2" xfId="41891"/>
    <cellStyle name="40% - Accent2 7 3" xfId="1076"/>
    <cellStyle name="40% - Accent2 7 3 2" xfId="2716"/>
    <cellStyle name="40% - Accent2 7 3 2 2" xfId="25491"/>
    <cellStyle name="40% - Accent2 7 3 3" xfId="23851"/>
    <cellStyle name="40% - Accent2 7 30" xfId="19772"/>
    <cellStyle name="40% - Accent2 7 30 2" xfId="42547"/>
    <cellStyle name="40% - Accent2 7 31" xfId="20428"/>
    <cellStyle name="40% - Accent2 7 31 2" xfId="43203"/>
    <cellStyle name="40% - Accent2 7 32" xfId="21084"/>
    <cellStyle name="40% - Accent2 7 32 2" xfId="43859"/>
    <cellStyle name="40% - Accent2 7 33" xfId="21740"/>
    <cellStyle name="40% - Accent2 7 33 2" xfId="44515"/>
    <cellStyle name="40% - Accent2 7 34" xfId="22396"/>
    <cellStyle name="40% - Accent2 7 34 2" xfId="45171"/>
    <cellStyle name="40% - Accent2 7 35" xfId="23195"/>
    <cellStyle name="40% - Accent2 7 4" xfId="1732"/>
    <cellStyle name="40% - Accent2 7 4 2" xfId="3372"/>
    <cellStyle name="40% - Accent2 7 4 2 2" xfId="26147"/>
    <cellStyle name="40% - Accent2 7 4 3" xfId="24507"/>
    <cellStyle name="40% - Accent2 7 5" xfId="4028"/>
    <cellStyle name="40% - Accent2 7 5 2" xfId="26803"/>
    <cellStyle name="40% - Accent2 7 6" xfId="4684"/>
    <cellStyle name="40% - Accent2 7 6 2" xfId="27459"/>
    <cellStyle name="40% - Accent2 7 7" xfId="5340"/>
    <cellStyle name="40% - Accent2 7 7 2" xfId="28115"/>
    <cellStyle name="40% - Accent2 7 8" xfId="5996"/>
    <cellStyle name="40% - Accent2 7 8 2" xfId="28771"/>
    <cellStyle name="40% - Accent2 7 9" xfId="2388"/>
    <cellStyle name="40% - Accent2 7 9 2" xfId="25163"/>
    <cellStyle name="40% - Accent2 8" xfId="435"/>
    <cellStyle name="40% - Accent2 8 10" xfId="6666"/>
    <cellStyle name="40% - Accent2 8 10 2" xfId="29441"/>
    <cellStyle name="40% - Accent2 8 11" xfId="7322"/>
    <cellStyle name="40% - Accent2 8 11 2" xfId="30097"/>
    <cellStyle name="40% - Accent2 8 12" xfId="7978"/>
    <cellStyle name="40% - Accent2 8 12 2" xfId="30753"/>
    <cellStyle name="40% - Accent2 8 13" xfId="8634"/>
    <cellStyle name="40% - Accent2 8 13 2" xfId="31409"/>
    <cellStyle name="40% - Accent2 8 14" xfId="9290"/>
    <cellStyle name="40% - Accent2 8 14 2" xfId="32065"/>
    <cellStyle name="40% - Accent2 8 15" xfId="9946"/>
    <cellStyle name="40% - Accent2 8 15 2" xfId="32721"/>
    <cellStyle name="40% - Accent2 8 16" xfId="10602"/>
    <cellStyle name="40% - Accent2 8 16 2" xfId="33377"/>
    <cellStyle name="40% - Accent2 8 17" xfId="11258"/>
    <cellStyle name="40% - Accent2 8 17 2" xfId="34033"/>
    <cellStyle name="40% - Accent2 8 18" xfId="11914"/>
    <cellStyle name="40% - Accent2 8 18 2" xfId="34689"/>
    <cellStyle name="40% - Accent2 8 19" xfId="12570"/>
    <cellStyle name="40% - Accent2 8 19 2" xfId="35345"/>
    <cellStyle name="40% - Accent2 8 2" xfId="762"/>
    <cellStyle name="40% - Accent2 8 2 10" xfId="8306"/>
    <cellStyle name="40% - Accent2 8 2 10 2" xfId="31081"/>
    <cellStyle name="40% - Accent2 8 2 11" xfId="8962"/>
    <cellStyle name="40% - Accent2 8 2 11 2" xfId="31737"/>
    <cellStyle name="40% - Accent2 8 2 12" xfId="9618"/>
    <cellStyle name="40% - Accent2 8 2 12 2" xfId="32393"/>
    <cellStyle name="40% - Accent2 8 2 13" xfId="10274"/>
    <cellStyle name="40% - Accent2 8 2 13 2" xfId="33049"/>
    <cellStyle name="40% - Accent2 8 2 14" xfId="10930"/>
    <cellStyle name="40% - Accent2 8 2 14 2" xfId="33705"/>
    <cellStyle name="40% - Accent2 8 2 15" xfId="11586"/>
    <cellStyle name="40% - Accent2 8 2 15 2" xfId="34361"/>
    <cellStyle name="40% - Accent2 8 2 16" xfId="12242"/>
    <cellStyle name="40% - Accent2 8 2 16 2" xfId="35017"/>
    <cellStyle name="40% - Accent2 8 2 17" xfId="12898"/>
    <cellStyle name="40% - Accent2 8 2 17 2" xfId="35673"/>
    <cellStyle name="40% - Accent2 8 2 18" xfId="13554"/>
    <cellStyle name="40% - Accent2 8 2 18 2" xfId="36329"/>
    <cellStyle name="40% - Accent2 8 2 19" xfId="14210"/>
    <cellStyle name="40% - Accent2 8 2 19 2" xfId="36985"/>
    <cellStyle name="40% - Accent2 8 2 2" xfId="1418"/>
    <cellStyle name="40% - Accent2 8 2 2 2" xfId="3714"/>
    <cellStyle name="40% - Accent2 8 2 2 2 2" xfId="26489"/>
    <cellStyle name="40% - Accent2 8 2 2 3" xfId="24193"/>
    <cellStyle name="40% - Accent2 8 2 20" xfId="14866"/>
    <cellStyle name="40% - Accent2 8 2 20 2" xfId="37641"/>
    <cellStyle name="40% - Accent2 8 2 21" xfId="15522"/>
    <cellStyle name="40% - Accent2 8 2 21 2" xfId="38297"/>
    <cellStyle name="40% - Accent2 8 2 22" xfId="16178"/>
    <cellStyle name="40% - Accent2 8 2 22 2" xfId="38953"/>
    <cellStyle name="40% - Accent2 8 2 23" xfId="16834"/>
    <cellStyle name="40% - Accent2 8 2 23 2" xfId="39609"/>
    <cellStyle name="40% - Accent2 8 2 24" xfId="17490"/>
    <cellStyle name="40% - Accent2 8 2 24 2" xfId="40265"/>
    <cellStyle name="40% - Accent2 8 2 25" xfId="18146"/>
    <cellStyle name="40% - Accent2 8 2 25 2" xfId="40921"/>
    <cellStyle name="40% - Accent2 8 2 26" xfId="18802"/>
    <cellStyle name="40% - Accent2 8 2 26 2" xfId="41577"/>
    <cellStyle name="40% - Accent2 8 2 27" xfId="19458"/>
    <cellStyle name="40% - Accent2 8 2 27 2" xfId="42233"/>
    <cellStyle name="40% - Accent2 8 2 28" xfId="20114"/>
    <cellStyle name="40% - Accent2 8 2 28 2" xfId="42889"/>
    <cellStyle name="40% - Accent2 8 2 29" xfId="20770"/>
    <cellStyle name="40% - Accent2 8 2 29 2" xfId="43545"/>
    <cellStyle name="40% - Accent2 8 2 3" xfId="2074"/>
    <cellStyle name="40% - Accent2 8 2 3 2" xfId="4370"/>
    <cellStyle name="40% - Accent2 8 2 3 2 2" xfId="27145"/>
    <cellStyle name="40% - Accent2 8 2 3 3" xfId="24849"/>
    <cellStyle name="40% - Accent2 8 2 30" xfId="21426"/>
    <cellStyle name="40% - Accent2 8 2 30 2" xfId="44201"/>
    <cellStyle name="40% - Accent2 8 2 31" xfId="22082"/>
    <cellStyle name="40% - Accent2 8 2 31 2" xfId="44857"/>
    <cellStyle name="40% - Accent2 8 2 32" xfId="22738"/>
    <cellStyle name="40% - Accent2 8 2 32 2" xfId="45513"/>
    <cellStyle name="40% - Accent2 8 2 33" xfId="23537"/>
    <cellStyle name="40% - Accent2 8 2 4" xfId="5026"/>
    <cellStyle name="40% - Accent2 8 2 4 2" xfId="27801"/>
    <cellStyle name="40% - Accent2 8 2 5" xfId="5682"/>
    <cellStyle name="40% - Accent2 8 2 5 2" xfId="28457"/>
    <cellStyle name="40% - Accent2 8 2 6" xfId="6338"/>
    <cellStyle name="40% - Accent2 8 2 6 2" xfId="29113"/>
    <cellStyle name="40% - Accent2 8 2 7" xfId="3058"/>
    <cellStyle name="40% - Accent2 8 2 7 2" xfId="25833"/>
    <cellStyle name="40% - Accent2 8 2 8" xfId="6994"/>
    <cellStyle name="40% - Accent2 8 2 8 2" xfId="29769"/>
    <cellStyle name="40% - Accent2 8 2 9" xfId="7650"/>
    <cellStyle name="40% - Accent2 8 2 9 2" xfId="30425"/>
    <cellStyle name="40% - Accent2 8 20" xfId="13226"/>
    <cellStyle name="40% - Accent2 8 20 2" xfId="36001"/>
    <cellStyle name="40% - Accent2 8 21" xfId="13882"/>
    <cellStyle name="40% - Accent2 8 21 2" xfId="36657"/>
    <cellStyle name="40% - Accent2 8 22" xfId="14538"/>
    <cellStyle name="40% - Accent2 8 22 2" xfId="37313"/>
    <cellStyle name="40% - Accent2 8 23" xfId="15194"/>
    <cellStyle name="40% - Accent2 8 23 2" xfId="37969"/>
    <cellStyle name="40% - Accent2 8 24" xfId="15850"/>
    <cellStyle name="40% - Accent2 8 24 2" xfId="38625"/>
    <cellStyle name="40% - Accent2 8 25" xfId="16506"/>
    <cellStyle name="40% - Accent2 8 25 2" xfId="39281"/>
    <cellStyle name="40% - Accent2 8 26" xfId="17162"/>
    <cellStyle name="40% - Accent2 8 26 2" xfId="39937"/>
    <cellStyle name="40% - Accent2 8 27" xfId="17818"/>
    <cellStyle name="40% - Accent2 8 27 2" xfId="40593"/>
    <cellStyle name="40% - Accent2 8 28" xfId="18474"/>
    <cellStyle name="40% - Accent2 8 28 2" xfId="41249"/>
    <cellStyle name="40% - Accent2 8 29" xfId="19130"/>
    <cellStyle name="40% - Accent2 8 29 2" xfId="41905"/>
    <cellStyle name="40% - Accent2 8 3" xfId="1090"/>
    <cellStyle name="40% - Accent2 8 3 2" xfId="2730"/>
    <cellStyle name="40% - Accent2 8 3 2 2" xfId="25505"/>
    <cellStyle name="40% - Accent2 8 3 3" xfId="23865"/>
    <cellStyle name="40% - Accent2 8 30" xfId="19786"/>
    <cellStyle name="40% - Accent2 8 30 2" xfId="42561"/>
    <cellStyle name="40% - Accent2 8 31" xfId="20442"/>
    <cellStyle name="40% - Accent2 8 31 2" xfId="43217"/>
    <cellStyle name="40% - Accent2 8 32" xfId="21098"/>
    <cellStyle name="40% - Accent2 8 32 2" xfId="43873"/>
    <cellStyle name="40% - Accent2 8 33" xfId="21754"/>
    <cellStyle name="40% - Accent2 8 33 2" xfId="44529"/>
    <cellStyle name="40% - Accent2 8 34" xfId="22410"/>
    <cellStyle name="40% - Accent2 8 34 2" xfId="45185"/>
    <cellStyle name="40% - Accent2 8 35" xfId="23209"/>
    <cellStyle name="40% - Accent2 8 4" xfId="1746"/>
    <cellStyle name="40% - Accent2 8 4 2" xfId="3386"/>
    <cellStyle name="40% - Accent2 8 4 2 2" xfId="26161"/>
    <cellStyle name="40% - Accent2 8 4 3" xfId="24521"/>
    <cellStyle name="40% - Accent2 8 5" xfId="4042"/>
    <cellStyle name="40% - Accent2 8 5 2" xfId="26817"/>
    <cellStyle name="40% - Accent2 8 6" xfId="4698"/>
    <cellStyle name="40% - Accent2 8 6 2" xfId="27473"/>
    <cellStyle name="40% - Accent2 8 7" xfId="5354"/>
    <cellStyle name="40% - Accent2 8 7 2" xfId="28129"/>
    <cellStyle name="40% - Accent2 8 8" xfId="6010"/>
    <cellStyle name="40% - Accent2 8 8 2" xfId="28785"/>
    <cellStyle name="40% - Accent2 8 9" xfId="2402"/>
    <cellStyle name="40% - Accent2 8 9 2" xfId="25177"/>
    <cellStyle name="40% - Accent2 9" xfId="449"/>
    <cellStyle name="40% - Accent2 9 10" xfId="6680"/>
    <cellStyle name="40% - Accent2 9 10 2" xfId="29455"/>
    <cellStyle name="40% - Accent2 9 11" xfId="7336"/>
    <cellStyle name="40% - Accent2 9 11 2" xfId="30111"/>
    <cellStyle name="40% - Accent2 9 12" xfId="7992"/>
    <cellStyle name="40% - Accent2 9 12 2" xfId="30767"/>
    <cellStyle name="40% - Accent2 9 13" xfId="8648"/>
    <cellStyle name="40% - Accent2 9 13 2" xfId="31423"/>
    <cellStyle name="40% - Accent2 9 14" xfId="9304"/>
    <cellStyle name="40% - Accent2 9 14 2" xfId="32079"/>
    <cellStyle name="40% - Accent2 9 15" xfId="9960"/>
    <cellStyle name="40% - Accent2 9 15 2" xfId="32735"/>
    <cellStyle name="40% - Accent2 9 16" xfId="10616"/>
    <cellStyle name="40% - Accent2 9 16 2" xfId="33391"/>
    <cellStyle name="40% - Accent2 9 17" xfId="11272"/>
    <cellStyle name="40% - Accent2 9 17 2" xfId="34047"/>
    <cellStyle name="40% - Accent2 9 18" xfId="11928"/>
    <cellStyle name="40% - Accent2 9 18 2" xfId="34703"/>
    <cellStyle name="40% - Accent2 9 19" xfId="12584"/>
    <cellStyle name="40% - Accent2 9 19 2" xfId="35359"/>
    <cellStyle name="40% - Accent2 9 2" xfId="776"/>
    <cellStyle name="40% - Accent2 9 2 10" xfId="8320"/>
    <cellStyle name="40% - Accent2 9 2 10 2" xfId="31095"/>
    <cellStyle name="40% - Accent2 9 2 11" xfId="8976"/>
    <cellStyle name="40% - Accent2 9 2 11 2" xfId="31751"/>
    <cellStyle name="40% - Accent2 9 2 12" xfId="9632"/>
    <cellStyle name="40% - Accent2 9 2 12 2" xfId="32407"/>
    <cellStyle name="40% - Accent2 9 2 13" xfId="10288"/>
    <cellStyle name="40% - Accent2 9 2 13 2" xfId="33063"/>
    <cellStyle name="40% - Accent2 9 2 14" xfId="10944"/>
    <cellStyle name="40% - Accent2 9 2 14 2" xfId="33719"/>
    <cellStyle name="40% - Accent2 9 2 15" xfId="11600"/>
    <cellStyle name="40% - Accent2 9 2 15 2" xfId="34375"/>
    <cellStyle name="40% - Accent2 9 2 16" xfId="12256"/>
    <cellStyle name="40% - Accent2 9 2 16 2" xfId="35031"/>
    <cellStyle name="40% - Accent2 9 2 17" xfId="12912"/>
    <cellStyle name="40% - Accent2 9 2 17 2" xfId="35687"/>
    <cellStyle name="40% - Accent2 9 2 18" xfId="13568"/>
    <cellStyle name="40% - Accent2 9 2 18 2" xfId="36343"/>
    <cellStyle name="40% - Accent2 9 2 19" xfId="14224"/>
    <cellStyle name="40% - Accent2 9 2 19 2" xfId="36999"/>
    <cellStyle name="40% - Accent2 9 2 2" xfId="1432"/>
    <cellStyle name="40% - Accent2 9 2 2 2" xfId="3728"/>
    <cellStyle name="40% - Accent2 9 2 2 2 2" xfId="26503"/>
    <cellStyle name="40% - Accent2 9 2 2 3" xfId="24207"/>
    <cellStyle name="40% - Accent2 9 2 20" xfId="14880"/>
    <cellStyle name="40% - Accent2 9 2 20 2" xfId="37655"/>
    <cellStyle name="40% - Accent2 9 2 21" xfId="15536"/>
    <cellStyle name="40% - Accent2 9 2 21 2" xfId="38311"/>
    <cellStyle name="40% - Accent2 9 2 22" xfId="16192"/>
    <cellStyle name="40% - Accent2 9 2 22 2" xfId="38967"/>
    <cellStyle name="40% - Accent2 9 2 23" xfId="16848"/>
    <cellStyle name="40% - Accent2 9 2 23 2" xfId="39623"/>
    <cellStyle name="40% - Accent2 9 2 24" xfId="17504"/>
    <cellStyle name="40% - Accent2 9 2 24 2" xfId="40279"/>
    <cellStyle name="40% - Accent2 9 2 25" xfId="18160"/>
    <cellStyle name="40% - Accent2 9 2 25 2" xfId="40935"/>
    <cellStyle name="40% - Accent2 9 2 26" xfId="18816"/>
    <cellStyle name="40% - Accent2 9 2 26 2" xfId="41591"/>
    <cellStyle name="40% - Accent2 9 2 27" xfId="19472"/>
    <cellStyle name="40% - Accent2 9 2 27 2" xfId="42247"/>
    <cellStyle name="40% - Accent2 9 2 28" xfId="20128"/>
    <cellStyle name="40% - Accent2 9 2 28 2" xfId="42903"/>
    <cellStyle name="40% - Accent2 9 2 29" xfId="20784"/>
    <cellStyle name="40% - Accent2 9 2 29 2" xfId="43559"/>
    <cellStyle name="40% - Accent2 9 2 3" xfId="2088"/>
    <cellStyle name="40% - Accent2 9 2 3 2" xfId="4384"/>
    <cellStyle name="40% - Accent2 9 2 3 2 2" xfId="27159"/>
    <cellStyle name="40% - Accent2 9 2 3 3" xfId="24863"/>
    <cellStyle name="40% - Accent2 9 2 30" xfId="21440"/>
    <cellStyle name="40% - Accent2 9 2 30 2" xfId="44215"/>
    <cellStyle name="40% - Accent2 9 2 31" xfId="22096"/>
    <cellStyle name="40% - Accent2 9 2 31 2" xfId="44871"/>
    <cellStyle name="40% - Accent2 9 2 32" xfId="22752"/>
    <cellStyle name="40% - Accent2 9 2 32 2" xfId="45527"/>
    <cellStyle name="40% - Accent2 9 2 33" xfId="23551"/>
    <cellStyle name="40% - Accent2 9 2 4" xfId="5040"/>
    <cellStyle name="40% - Accent2 9 2 4 2" xfId="27815"/>
    <cellStyle name="40% - Accent2 9 2 5" xfId="5696"/>
    <cellStyle name="40% - Accent2 9 2 5 2" xfId="28471"/>
    <cellStyle name="40% - Accent2 9 2 6" xfId="6352"/>
    <cellStyle name="40% - Accent2 9 2 6 2" xfId="29127"/>
    <cellStyle name="40% - Accent2 9 2 7" xfId="3072"/>
    <cellStyle name="40% - Accent2 9 2 7 2" xfId="25847"/>
    <cellStyle name="40% - Accent2 9 2 8" xfId="7008"/>
    <cellStyle name="40% - Accent2 9 2 8 2" xfId="29783"/>
    <cellStyle name="40% - Accent2 9 2 9" xfId="7664"/>
    <cellStyle name="40% - Accent2 9 2 9 2" xfId="30439"/>
    <cellStyle name="40% - Accent2 9 20" xfId="13240"/>
    <cellStyle name="40% - Accent2 9 20 2" xfId="36015"/>
    <cellStyle name="40% - Accent2 9 21" xfId="13896"/>
    <cellStyle name="40% - Accent2 9 21 2" xfId="36671"/>
    <cellStyle name="40% - Accent2 9 22" xfId="14552"/>
    <cellStyle name="40% - Accent2 9 22 2" xfId="37327"/>
    <cellStyle name="40% - Accent2 9 23" xfId="15208"/>
    <cellStyle name="40% - Accent2 9 23 2" xfId="37983"/>
    <cellStyle name="40% - Accent2 9 24" xfId="15864"/>
    <cellStyle name="40% - Accent2 9 24 2" xfId="38639"/>
    <cellStyle name="40% - Accent2 9 25" xfId="16520"/>
    <cellStyle name="40% - Accent2 9 25 2" xfId="39295"/>
    <cellStyle name="40% - Accent2 9 26" xfId="17176"/>
    <cellStyle name="40% - Accent2 9 26 2" xfId="39951"/>
    <cellStyle name="40% - Accent2 9 27" xfId="17832"/>
    <cellStyle name="40% - Accent2 9 27 2" xfId="40607"/>
    <cellStyle name="40% - Accent2 9 28" xfId="18488"/>
    <cellStyle name="40% - Accent2 9 28 2" xfId="41263"/>
    <cellStyle name="40% - Accent2 9 29" xfId="19144"/>
    <cellStyle name="40% - Accent2 9 29 2" xfId="41919"/>
    <cellStyle name="40% - Accent2 9 3" xfId="1104"/>
    <cellStyle name="40% - Accent2 9 3 2" xfId="2744"/>
    <cellStyle name="40% - Accent2 9 3 2 2" xfId="25519"/>
    <cellStyle name="40% - Accent2 9 3 3" xfId="23879"/>
    <cellStyle name="40% - Accent2 9 30" xfId="19800"/>
    <cellStyle name="40% - Accent2 9 30 2" xfId="42575"/>
    <cellStyle name="40% - Accent2 9 31" xfId="20456"/>
    <cellStyle name="40% - Accent2 9 31 2" xfId="43231"/>
    <cellStyle name="40% - Accent2 9 32" xfId="21112"/>
    <cellStyle name="40% - Accent2 9 32 2" xfId="43887"/>
    <cellStyle name="40% - Accent2 9 33" xfId="21768"/>
    <cellStyle name="40% - Accent2 9 33 2" xfId="44543"/>
    <cellStyle name="40% - Accent2 9 34" xfId="22424"/>
    <cellStyle name="40% - Accent2 9 34 2" xfId="45199"/>
    <cellStyle name="40% - Accent2 9 35" xfId="23223"/>
    <cellStyle name="40% - Accent2 9 4" xfId="1760"/>
    <cellStyle name="40% - Accent2 9 4 2" xfId="3400"/>
    <cellStyle name="40% - Accent2 9 4 2 2" xfId="26175"/>
    <cellStyle name="40% - Accent2 9 4 3" xfId="24535"/>
    <cellStyle name="40% - Accent2 9 5" xfId="4056"/>
    <cellStyle name="40% - Accent2 9 5 2" xfId="26831"/>
    <cellStyle name="40% - Accent2 9 6" xfId="4712"/>
    <cellStyle name="40% - Accent2 9 6 2" xfId="27487"/>
    <cellStyle name="40% - Accent2 9 7" xfId="5368"/>
    <cellStyle name="40% - Accent2 9 7 2" xfId="28143"/>
    <cellStyle name="40% - Accent2 9 8" xfId="6024"/>
    <cellStyle name="40% - Accent2 9 8 2" xfId="28799"/>
    <cellStyle name="40% - Accent2 9 9" xfId="2416"/>
    <cellStyle name="40% - Accent2 9 9 2" xfId="25191"/>
    <cellStyle name="40% - Accent3" xfId="30" builtinId="39" customBuiltin="1"/>
    <cellStyle name="40% - Accent3 10" xfId="463"/>
    <cellStyle name="40% - Accent3 10 10" xfId="6694"/>
    <cellStyle name="40% - Accent3 10 10 2" xfId="29469"/>
    <cellStyle name="40% - Accent3 10 11" xfId="7350"/>
    <cellStyle name="40% - Accent3 10 11 2" xfId="30125"/>
    <cellStyle name="40% - Accent3 10 12" xfId="8006"/>
    <cellStyle name="40% - Accent3 10 12 2" xfId="30781"/>
    <cellStyle name="40% - Accent3 10 13" xfId="8662"/>
    <cellStyle name="40% - Accent3 10 13 2" xfId="31437"/>
    <cellStyle name="40% - Accent3 10 14" xfId="9318"/>
    <cellStyle name="40% - Accent3 10 14 2" xfId="32093"/>
    <cellStyle name="40% - Accent3 10 15" xfId="9974"/>
    <cellStyle name="40% - Accent3 10 15 2" xfId="32749"/>
    <cellStyle name="40% - Accent3 10 16" xfId="10630"/>
    <cellStyle name="40% - Accent3 10 16 2" xfId="33405"/>
    <cellStyle name="40% - Accent3 10 17" xfId="11286"/>
    <cellStyle name="40% - Accent3 10 17 2" xfId="34061"/>
    <cellStyle name="40% - Accent3 10 18" xfId="11942"/>
    <cellStyle name="40% - Accent3 10 18 2" xfId="34717"/>
    <cellStyle name="40% - Accent3 10 19" xfId="12598"/>
    <cellStyle name="40% - Accent3 10 19 2" xfId="35373"/>
    <cellStyle name="40% - Accent3 10 2" xfId="790"/>
    <cellStyle name="40% - Accent3 10 2 10" xfId="8334"/>
    <cellStyle name="40% - Accent3 10 2 10 2" xfId="31109"/>
    <cellStyle name="40% - Accent3 10 2 11" xfId="8990"/>
    <cellStyle name="40% - Accent3 10 2 11 2" xfId="31765"/>
    <cellStyle name="40% - Accent3 10 2 12" xfId="9646"/>
    <cellStyle name="40% - Accent3 10 2 12 2" xfId="32421"/>
    <cellStyle name="40% - Accent3 10 2 13" xfId="10302"/>
    <cellStyle name="40% - Accent3 10 2 13 2" xfId="33077"/>
    <cellStyle name="40% - Accent3 10 2 14" xfId="10958"/>
    <cellStyle name="40% - Accent3 10 2 14 2" xfId="33733"/>
    <cellStyle name="40% - Accent3 10 2 15" xfId="11614"/>
    <cellStyle name="40% - Accent3 10 2 15 2" xfId="34389"/>
    <cellStyle name="40% - Accent3 10 2 16" xfId="12270"/>
    <cellStyle name="40% - Accent3 10 2 16 2" xfId="35045"/>
    <cellStyle name="40% - Accent3 10 2 17" xfId="12926"/>
    <cellStyle name="40% - Accent3 10 2 17 2" xfId="35701"/>
    <cellStyle name="40% - Accent3 10 2 18" xfId="13582"/>
    <cellStyle name="40% - Accent3 10 2 18 2" xfId="36357"/>
    <cellStyle name="40% - Accent3 10 2 19" xfId="14238"/>
    <cellStyle name="40% - Accent3 10 2 19 2" xfId="37013"/>
    <cellStyle name="40% - Accent3 10 2 2" xfId="1446"/>
    <cellStyle name="40% - Accent3 10 2 2 2" xfId="3742"/>
    <cellStyle name="40% - Accent3 10 2 2 2 2" xfId="26517"/>
    <cellStyle name="40% - Accent3 10 2 2 3" xfId="24221"/>
    <cellStyle name="40% - Accent3 10 2 20" xfId="14894"/>
    <cellStyle name="40% - Accent3 10 2 20 2" xfId="37669"/>
    <cellStyle name="40% - Accent3 10 2 21" xfId="15550"/>
    <cellStyle name="40% - Accent3 10 2 21 2" xfId="38325"/>
    <cellStyle name="40% - Accent3 10 2 22" xfId="16206"/>
    <cellStyle name="40% - Accent3 10 2 22 2" xfId="38981"/>
    <cellStyle name="40% - Accent3 10 2 23" xfId="16862"/>
    <cellStyle name="40% - Accent3 10 2 23 2" xfId="39637"/>
    <cellStyle name="40% - Accent3 10 2 24" xfId="17518"/>
    <cellStyle name="40% - Accent3 10 2 24 2" xfId="40293"/>
    <cellStyle name="40% - Accent3 10 2 25" xfId="18174"/>
    <cellStyle name="40% - Accent3 10 2 25 2" xfId="40949"/>
    <cellStyle name="40% - Accent3 10 2 26" xfId="18830"/>
    <cellStyle name="40% - Accent3 10 2 26 2" xfId="41605"/>
    <cellStyle name="40% - Accent3 10 2 27" xfId="19486"/>
    <cellStyle name="40% - Accent3 10 2 27 2" xfId="42261"/>
    <cellStyle name="40% - Accent3 10 2 28" xfId="20142"/>
    <cellStyle name="40% - Accent3 10 2 28 2" xfId="42917"/>
    <cellStyle name="40% - Accent3 10 2 29" xfId="20798"/>
    <cellStyle name="40% - Accent3 10 2 29 2" xfId="43573"/>
    <cellStyle name="40% - Accent3 10 2 3" xfId="2102"/>
    <cellStyle name="40% - Accent3 10 2 3 2" xfId="4398"/>
    <cellStyle name="40% - Accent3 10 2 3 2 2" xfId="27173"/>
    <cellStyle name="40% - Accent3 10 2 3 3" xfId="24877"/>
    <cellStyle name="40% - Accent3 10 2 30" xfId="21454"/>
    <cellStyle name="40% - Accent3 10 2 30 2" xfId="44229"/>
    <cellStyle name="40% - Accent3 10 2 31" xfId="22110"/>
    <cellStyle name="40% - Accent3 10 2 31 2" xfId="44885"/>
    <cellStyle name="40% - Accent3 10 2 32" xfId="22766"/>
    <cellStyle name="40% - Accent3 10 2 32 2" xfId="45541"/>
    <cellStyle name="40% - Accent3 10 2 33" xfId="23565"/>
    <cellStyle name="40% - Accent3 10 2 4" xfId="5054"/>
    <cellStyle name="40% - Accent3 10 2 4 2" xfId="27829"/>
    <cellStyle name="40% - Accent3 10 2 5" xfId="5710"/>
    <cellStyle name="40% - Accent3 10 2 5 2" xfId="28485"/>
    <cellStyle name="40% - Accent3 10 2 6" xfId="6366"/>
    <cellStyle name="40% - Accent3 10 2 6 2" xfId="29141"/>
    <cellStyle name="40% - Accent3 10 2 7" xfId="3086"/>
    <cellStyle name="40% - Accent3 10 2 7 2" xfId="25861"/>
    <cellStyle name="40% - Accent3 10 2 8" xfId="7022"/>
    <cellStyle name="40% - Accent3 10 2 8 2" xfId="29797"/>
    <cellStyle name="40% - Accent3 10 2 9" xfId="7678"/>
    <cellStyle name="40% - Accent3 10 2 9 2" xfId="30453"/>
    <cellStyle name="40% - Accent3 10 20" xfId="13254"/>
    <cellStyle name="40% - Accent3 10 20 2" xfId="36029"/>
    <cellStyle name="40% - Accent3 10 21" xfId="13910"/>
    <cellStyle name="40% - Accent3 10 21 2" xfId="36685"/>
    <cellStyle name="40% - Accent3 10 22" xfId="14566"/>
    <cellStyle name="40% - Accent3 10 22 2" xfId="37341"/>
    <cellStyle name="40% - Accent3 10 23" xfId="15222"/>
    <cellStyle name="40% - Accent3 10 23 2" xfId="37997"/>
    <cellStyle name="40% - Accent3 10 24" xfId="15878"/>
    <cellStyle name="40% - Accent3 10 24 2" xfId="38653"/>
    <cellStyle name="40% - Accent3 10 25" xfId="16534"/>
    <cellStyle name="40% - Accent3 10 25 2" xfId="39309"/>
    <cellStyle name="40% - Accent3 10 26" xfId="17190"/>
    <cellStyle name="40% - Accent3 10 26 2" xfId="39965"/>
    <cellStyle name="40% - Accent3 10 27" xfId="17846"/>
    <cellStyle name="40% - Accent3 10 27 2" xfId="40621"/>
    <cellStyle name="40% - Accent3 10 28" xfId="18502"/>
    <cellStyle name="40% - Accent3 10 28 2" xfId="41277"/>
    <cellStyle name="40% - Accent3 10 29" xfId="19158"/>
    <cellStyle name="40% - Accent3 10 29 2" xfId="41933"/>
    <cellStyle name="40% - Accent3 10 3" xfId="1118"/>
    <cellStyle name="40% - Accent3 10 3 2" xfId="2758"/>
    <cellStyle name="40% - Accent3 10 3 2 2" xfId="25533"/>
    <cellStyle name="40% - Accent3 10 3 3" xfId="23893"/>
    <cellStyle name="40% - Accent3 10 30" xfId="19814"/>
    <cellStyle name="40% - Accent3 10 30 2" xfId="42589"/>
    <cellStyle name="40% - Accent3 10 31" xfId="20470"/>
    <cellStyle name="40% - Accent3 10 31 2" xfId="43245"/>
    <cellStyle name="40% - Accent3 10 32" xfId="21126"/>
    <cellStyle name="40% - Accent3 10 32 2" xfId="43901"/>
    <cellStyle name="40% - Accent3 10 33" xfId="21782"/>
    <cellStyle name="40% - Accent3 10 33 2" xfId="44557"/>
    <cellStyle name="40% - Accent3 10 34" xfId="22438"/>
    <cellStyle name="40% - Accent3 10 34 2" xfId="45213"/>
    <cellStyle name="40% - Accent3 10 35" xfId="23237"/>
    <cellStyle name="40% - Accent3 10 4" xfId="1774"/>
    <cellStyle name="40% - Accent3 10 4 2" xfId="3414"/>
    <cellStyle name="40% - Accent3 10 4 2 2" xfId="26189"/>
    <cellStyle name="40% - Accent3 10 4 3" xfId="24549"/>
    <cellStyle name="40% - Accent3 10 5" xfId="4070"/>
    <cellStyle name="40% - Accent3 10 5 2" xfId="26845"/>
    <cellStyle name="40% - Accent3 10 6" xfId="4726"/>
    <cellStyle name="40% - Accent3 10 6 2" xfId="27501"/>
    <cellStyle name="40% - Accent3 10 7" xfId="5382"/>
    <cellStyle name="40% - Accent3 10 7 2" xfId="28157"/>
    <cellStyle name="40% - Accent3 10 8" xfId="6038"/>
    <cellStyle name="40% - Accent3 10 8 2" xfId="28813"/>
    <cellStyle name="40% - Accent3 10 9" xfId="2430"/>
    <cellStyle name="40% - Accent3 10 9 2" xfId="25205"/>
    <cellStyle name="40% - Accent3 11" xfId="605"/>
    <cellStyle name="40% - Accent3 11 10" xfId="8149"/>
    <cellStyle name="40% - Accent3 11 10 2" xfId="30924"/>
    <cellStyle name="40% - Accent3 11 11" xfId="8805"/>
    <cellStyle name="40% - Accent3 11 11 2" xfId="31580"/>
    <cellStyle name="40% - Accent3 11 12" xfId="9461"/>
    <cellStyle name="40% - Accent3 11 12 2" xfId="32236"/>
    <cellStyle name="40% - Accent3 11 13" xfId="10117"/>
    <cellStyle name="40% - Accent3 11 13 2" xfId="32892"/>
    <cellStyle name="40% - Accent3 11 14" xfId="10773"/>
    <cellStyle name="40% - Accent3 11 14 2" xfId="33548"/>
    <cellStyle name="40% - Accent3 11 15" xfId="11429"/>
    <cellStyle name="40% - Accent3 11 15 2" xfId="34204"/>
    <cellStyle name="40% - Accent3 11 16" xfId="12085"/>
    <cellStyle name="40% - Accent3 11 16 2" xfId="34860"/>
    <cellStyle name="40% - Accent3 11 17" xfId="12741"/>
    <cellStyle name="40% - Accent3 11 17 2" xfId="35516"/>
    <cellStyle name="40% - Accent3 11 18" xfId="13397"/>
    <cellStyle name="40% - Accent3 11 18 2" xfId="36172"/>
    <cellStyle name="40% - Accent3 11 19" xfId="14053"/>
    <cellStyle name="40% - Accent3 11 19 2" xfId="36828"/>
    <cellStyle name="40% - Accent3 11 2" xfId="1261"/>
    <cellStyle name="40% - Accent3 11 2 2" xfId="3557"/>
    <cellStyle name="40% - Accent3 11 2 2 2" xfId="26332"/>
    <cellStyle name="40% - Accent3 11 2 3" xfId="24036"/>
    <cellStyle name="40% - Accent3 11 20" xfId="14709"/>
    <cellStyle name="40% - Accent3 11 20 2" xfId="37484"/>
    <cellStyle name="40% - Accent3 11 21" xfId="15365"/>
    <cellStyle name="40% - Accent3 11 21 2" xfId="38140"/>
    <cellStyle name="40% - Accent3 11 22" xfId="16021"/>
    <cellStyle name="40% - Accent3 11 22 2" xfId="38796"/>
    <cellStyle name="40% - Accent3 11 23" xfId="16677"/>
    <cellStyle name="40% - Accent3 11 23 2" xfId="39452"/>
    <cellStyle name="40% - Accent3 11 24" xfId="17333"/>
    <cellStyle name="40% - Accent3 11 24 2" xfId="40108"/>
    <cellStyle name="40% - Accent3 11 25" xfId="17989"/>
    <cellStyle name="40% - Accent3 11 25 2" xfId="40764"/>
    <cellStyle name="40% - Accent3 11 26" xfId="18645"/>
    <cellStyle name="40% - Accent3 11 26 2" xfId="41420"/>
    <cellStyle name="40% - Accent3 11 27" xfId="19301"/>
    <cellStyle name="40% - Accent3 11 27 2" xfId="42076"/>
    <cellStyle name="40% - Accent3 11 28" xfId="19957"/>
    <cellStyle name="40% - Accent3 11 28 2" xfId="42732"/>
    <cellStyle name="40% - Accent3 11 29" xfId="20613"/>
    <cellStyle name="40% - Accent3 11 29 2" xfId="43388"/>
    <cellStyle name="40% - Accent3 11 3" xfId="1917"/>
    <cellStyle name="40% - Accent3 11 3 2" xfId="4213"/>
    <cellStyle name="40% - Accent3 11 3 2 2" xfId="26988"/>
    <cellStyle name="40% - Accent3 11 3 3" xfId="24692"/>
    <cellStyle name="40% - Accent3 11 30" xfId="21269"/>
    <cellStyle name="40% - Accent3 11 30 2" xfId="44044"/>
    <cellStyle name="40% - Accent3 11 31" xfId="21925"/>
    <cellStyle name="40% - Accent3 11 31 2" xfId="44700"/>
    <cellStyle name="40% - Accent3 11 32" xfId="22581"/>
    <cellStyle name="40% - Accent3 11 32 2" xfId="45356"/>
    <cellStyle name="40% - Accent3 11 33" xfId="23380"/>
    <cellStyle name="40% - Accent3 11 4" xfId="4869"/>
    <cellStyle name="40% - Accent3 11 4 2" xfId="27644"/>
    <cellStyle name="40% - Accent3 11 5" xfId="5525"/>
    <cellStyle name="40% - Accent3 11 5 2" xfId="28300"/>
    <cellStyle name="40% - Accent3 11 6" xfId="6181"/>
    <cellStyle name="40% - Accent3 11 6 2" xfId="28956"/>
    <cellStyle name="40% - Accent3 11 7" xfId="2901"/>
    <cellStyle name="40% - Accent3 11 7 2" xfId="25676"/>
    <cellStyle name="40% - Accent3 11 8" xfId="6837"/>
    <cellStyle name="40% - Accent3 11 8 2" xfId="29612"/>
    <cellStyle name="40% - Accent3 11 9" xfId="7493"/>
    <cellStyle name="40% - Accent3 11 9 2" xfId="30268"/>
    <cellStyle name="40% - Accent3 12" xfId="278"/>
    <cellStyle name="40% - Accent3 12 2" xfId="2573"/>
    <cellStyle name="40% - Accent3 12 2 2" xfId="25348"/>
    <cellStyle name="40% - Accent3 12 3" xfId="23052"/>
    <cellStyle name="40% - Accent3 13" xfId="933"/>
    <cellStyle name="40% - Accent3 13 2" xfId="3229"/>
    <cellStyle name="40% - Accent3 13 2 2" xfId="26004"/>
    <cellStyle name="40% - Accent3 13 3" xfId="23708"/>
    <cellStyle name="40% - Accent3 14" xfId="1589"/>
    <cellStyle name="40% - Accent3 14 2" xfId="3885"/>
    <cellStyle name="40% - Accent3 14 2 2" xfId="26660"/>
    <cellStyle name="40% - Accent3 14 3" xfId="24364"/>
    <cellStyle name="40% - Accent3 15" xfId="4541"/>
    <cellStyle name="40% - Accent3 15 2" xfId="27316"/>
    <cellStyle name="40% - Accent3 16" xfId="5197"/>
    <cellStyle name="40% - Accent3 16 2" xfId="27972"/>
    <cellStyle name="40% - Accent3 17" xfId="5853"/>
    <cellStyle name="40% - Accent3 17 2" xfId="28628"/>
    <cellStyle name="40% - Accent3 18" xfId="2245"/>
    <cellStyle name="40% - Accent3 18 2" xfId="25020"/>
    <cellStyle name="40% - Accent3 19" xfId="6509"/>
    <cellStyle name="40% - Accent3 19 2" xfId="29284"/>
    <cellStyle name="40% - Accent3 2" xfId="73"/>
    <cellStyle name="40% - Accent3 2 10" xfId="5869"/>
    <cellStyle name="40% - Accent3 2 10 2" xfId="28644"/>
    <cellStyle name="40% - Accent3 2 11" xfId="2261"/>
    <cellStyle name="40% - Accent3 2 11 2" xfId="25036"/>
    <cellStyle name="40% - Accent3 2 12" xfId="6525"/>
    <cellStyle name="40% - Accent3 2 12 2" xfId="29300"/>
    <cellStyle name="40% - Accent3 2 13" xfId="7181"/>
    <cellStyle name="40% - Accent3 2 13 2" xfId="29956"/>
    <cellStyle name="40% - Accent3 2 14" xfId="7837"/>
    <cellStyle name="40% - Accent3 2 14 2" xfId="30612"/>
    <cellStyle name="40% - Accent3 2 15" xfId="8493"/>
    <cellStyle name="40% - Accent3 2 15 2" xfId="31268"/>
    <cellStyle name="40% - Accent3 2 16" xfId="9149"/>
    <cellStyle name="40% - Accent3 2 16 2" xfId="31924"/>
    <cellStyle name="40% - Accent3 2 17" xfId="9805"/>
    <cellStyle name="40% - Accent3 2 17 2" xfId="32580"/>
    <cellStyle name="40% - Accent3 2 18" xfId="10461"/>
    <cellStyle name="40% - Accent3 2 18 2" xfId="33236"/>
    <cellStyle name="40% - Accent3 2 19" xfId="11117"/>
    <cellStyle name="40% - Accent3 2 19 2" xfId="33892"/>
    <cellStyle name="40% - Accent3 2 2" xfId="149"/>
    <cellStyle name="40% - Accent3 2 2 10" xfId="2347"/>
    <cellStyle name="40% - Accent3 2 2 10 2" xfId="25122"/>
    <cellStyle name="40% - Accent3 2 2 11" xfId="6611"/>
    <cellStyle name="40% - Accent3 2 2 11 2" xfId="29386"/>
    <cellStyle name="40% - Accent3 2 2 12" xfId="7267"/>
    <cellStyle name="40% - Accent3 2 2 12 2" xfId="30042"/>
    <cellStyle name="40% - Accent3 2 2 13" xfId="7923"/>
    <cellStyle name="40% - Accent3 2 2 13 2" xfId="30698"/>
    <cellStyle name="40% - Accent3 2 2 14" xfId="8579"/>
    <cellStyle name="40% - Accent3 2 2 14 2" xfId="31354"/>
    <cellStyle name="40% - Accent3 2 2 15" xfId="9235"/>
    <cellStyle name="40% - Accent3 2 2 15 2" xfId="32010"/>
    <cellStyle name="40% - Accent3 2 2 16" xfId="9891"/>
    <cellStyle name="40% - Accent3 2 2 16 2" xfId="32666"/>
    <cellStyle name="40% - Accent3 2 2 17" xfId="10547"/>
    <cellStyle name="40% - Accent3 2 2 17 2" xfId="33322"/>
    <cellStyle name="40% - Accent3 2 2 18" xfId="11203"/>
    <cellStyle name="40% - Accent3 2 2 18 2" xfId="33978"/>
    <cellStyle name="40% - Accent3 2 2 19" xfId="11859"/>
    <cellStyle name="40% - Accent3 2 2 19 2" xfId="34634"/>
    <cellStyle name="40% - Accent3 2 2 2" xfId="563"/>
    <cellStyle name="40% - Accent3 2 2 2 10" xfId="6796"/>
    <cellStyle name="40% - Accent3 2 2 2 10 2" xfId="29571"/>
    <cellStyle name="40% - Accent3 2 2 2 11" xfId="7452"/>
    <cellStyle name="40% - Accent3 2 2 2 11 2" xfId="30227"/>
    <cellStyle name="40% - Accent3 2 2 2 12" xfId="8108"/>
    <cellStyle name="40% - Accent3 2 2 2 12 2" xfId="30883"/>
    <cellStyle name="40% - Accent3 2 2 2 13" xfId="8764"/>
    <cellStyle name="40% - Accent3 2 2 2 13 2" xfId="31539"/>
    <cellStyle name="40% - Accent3 2 2 2 14" xfId="9420"/>
    <cellStyle name="40% - Accent3 2 2 2 14 2" xfId="32195"/>
    <cellStyle name="40% - Accent3 2 2 2 15" xfId="10076"/>
    <cellStyle name="40% - Accent3 2 2 2 15 2" xfId="32851"/>
    <cellStyle name="40% - Accent3 2 2 2 16" xfId="10732"/>
    <cellStyle name="40% - Accent3 2 2 2 16 2" xfId="33507"/>
    <cellStyle name="40% - Accent3 2 2 2 17" xfId="11388"/>
    <cellStyle name="40% - Accent3 2 2 2 17 2" xfId="34163"/>
    <cellStyle name="40% - Accent3 2 2 2 18" xfId="12044"/>
    <cellStyle name="40% - Accent3 2 2 2 18 2" xfId="34819"/>
    <cellStyle name="40% - Accent3 2 2 2 19" xfId="12700"/>
    <cellStyle name="40% - Accent3 2 2 2 19 2" xfId="35475"/>
    <cellStyle name="40% - Accent3 2 2 2 2" xfId="892"/>
    <cellStyle name="40% - Accent3 2 2 2 2 10" xfId="8436"/>
    <cellStyle name="40% - Accent3 2 2 2 2 10 2" xfId="31211"/>
    <cellStyle name="40% - Accent3 2 2 2 2 11" xfId="9092"/>
    <cellStyle name="40% - Accent3 2 2 2 2 11 2" xfId="31867"/>
    <cellStyle name="40% - Accent3 2 2 2 2 12" xfId="9748"/>
    <cellStyle name="40% - Accent3 2 2 2 2 12 2" xfId="32523"/>
    <cellStyle name="40% - Accent3 2 2 2 2 13" xfId="10404"/>
    <cellStyle name="40% - Accent3 2 2 2 2 13 2" xfId="33179"/>
    <cellStyle name="40% - Accent3 2 2 2 2 14" xfId="11060"/>
    <cellStyle name="40% - Accent3 2 2 2 2 14 2" xfId="33835"/>
    <cellStyle name="40% - Accent3 2 2 2 2 15" xfId="11716"/>
    <cellStyle name="40% - Accent3 2 2 2 2 15 2" xfId="34491"/>
    <cellStyle name="40% - Accent3 2 2 2 2 16" xfId="12372"/>
    <cellStyle name="40% - Accent3 2 2 2 2 16 2" xfId="35147"/>
    <cellStyle name="40% - Accent3 2 2 2 2 17" xfId="13028"/>
    <cellStyle name="40% - Accent3 2 2 2 2 17 2" xfId="35803"/>
    <cellStyle name="40% - Accent3 2 2 2 2 18" xfId="13684"/>
    <cellStyle name="40% - Accent3 2 2 2 2 18 2" xfId="36459"/>
    <cellStyle name="40% - Accent3 2 2 2 2 19" xfId="14340"/>
    <cellStyle name="40% - Accent3 2 2 2 2 19 2" xfId="37115"/>
    <cellStyle name="40% - Accent3 2 2 2 2 2" xfId="1548"/>
    <cellStyle name="40% - Accent3 2 2 2 2 2 2" xfId="3844"/>
    <cellStyle name="40% - Accent3 2 2 2 2 2 2 2" xfId="26619"/>
    <cellStyle name="40% - Accent3 2 2 2 2 2 3" xfId="24323"/>
    <cellStyle name="40% - Accent3 2 2 2 2 20" xfId="14996"/>
    <cellStyle name="40% - Accent3 2 2 2 2 20 2" xfId="37771"/>
    <cellStyle name="40% - Accent3 2 2 2 2 21" xfId="15652"/>
    <cellStyle name="40% - Accent3 2 2 2 2 21 2" xfId="38427"/>
    <cellStyle name="40% - Accent3 2 2 2 2 22" xfId="16308"/>
    <cellStyle name="40% - Accent3 2 2 2 2 22 2" xfId="39083"/>
    <cellStyle name="40% - Accent3 2 2 2 2 23" xfId="16964"/>
    <cellStyle name="40% - Accent3 2 2 2 2 23 2" xfId="39739"/>
    <cellStyle name="40% - Accent3 2 2 2 2 24" xfId="17620"/>
    <cellStyle name="40% - Accent3 2 2 2 2 24 2" xfId="40395"/>
    <cellStyle name="40% - Accent3 2 2 2 2 25" xfId="18276"/>
    <cellStyle name="40% - Accent3 2 2 2 2 25 2" xfId="41051"/>
    <cellStyle name="40% - Accent3 2 2 2 2 26" xfId="18932"/>
    <cellStyle name="40% - Accent3 2 2 2 2 26 2" xfId="41707"/>
    <cellStyle name="40% - Accent3 2 2 2 2 27" xfId="19588"/>
    <cellStyle name="40% - Accent3 2 2 2 2 27 2" xfId="42363"/>
    <cellStyle name="40% - Accent3 2 2 2 2 28" xfId="20244"/>
    <cellStyle name="40% - Accent3 2 2 2 2 28 2" xfId="43019"/>
    <cellStyle name="40% - Accent3 2 2 2 2 29" xfId="20900"/>
    <cellStyle name="40% - Accent3 2 2 2 2 29 2" xfId="43675"/>
    <cellStyle name="40% - Accent3 2 2 2 2 3" xfId="2204"/>
    <cellStyle name="40% - Accent3 2 2 2 2 3 2" xfId="4500"/>
    <cellStyle name="40% - Accent3 2 2 2 2 3 2 2" xfId="27275"/>
    <cellStyle name="40% - Accent3 2 2 2 2 3 3" xfId="24979"/>
    <cellStyle name="40% - Accent3 2 2 2 2 30" xfId="21556"/>
    <cellStyle name="40% - Accent3 2 2 2 2 30 2" xfId="44331"/>
    <cellStyle name="40% - Accent3 2 2 2 2 31" xfId="22212"/>
    <cellStyle name="40% - Accent3 2 2 2 2 31 2" xfId="44987"/>
    <cellStyle name="40% - Accent3 2 2 2 2 32" xfId="22868"/>
    <cellStyle name="40% - Accent3 2 2 2 2 32 2" xfId="45643"/>
    <cellStyle name="40% - Accent3 2 2 2 2 33" xfId="23667"/>
    <cellStyle name="40% - Accent3 2 2 2 2 4" xfId="5156"/>
    <cellStyle name="40% - Accent3 2 2 2 2 4 2" xfId="27931"/>
    <cellStyle name="40% - Accent3 2 2 2 2 5" xfId="5812"/>
    <cellStyle name="40% - Accent3 2 2 2 2 5 2" xfId="28587"/>
    <cellStyle name="40% - Accent3 2 2 2 2 6" xfId="6468"/>
    <cellStyle name="40% - Accent3 2 2 2 2 6 2" xfId="29243"/>
    <cellStyle name="40% - Accent3 2 2 2 2 7" xfId="3188"/>
    <cellStyle name="40% - Accent3 2 2 2 2 7 2" xfId="25963"/>
    <cellStyle name="40% - Accent3 2 2 2 2 8" xfId="7124"/>
    <cellStyle name="40% - Accent3 2 2 2 2 8 2" xfId="29899"/>
    <cellStyle name="40% - Accent3 2 2 2 2 9" xfId="7780"/>
    <cellStyle name="40% - Accent3 2 2 2 2 9 2" xfId="30555"/>
    <cellStyle name="40% - Accent3 2 2 2 20" xfId="13356"/>
    <cellStyle name="40% - Accent3 2 2 2 20 2" xfId="36131"/>
    <cellStyle name="40% - Accent3 2 2 2 21" xfId="14012"/>
    <cellStyle name="40% - Accent3 2 2 2 21 2" xfId="36787"/>
    <cellStyle name="40% - Accent3 2 2 2 22" xfId="14668"/>
    <cellStyle name="40% - Accent3 2 2 2 22 2" xfId="37443"/>
    <cellStyle name="40% - Accent3 2 2 2 23" xfId="15324"/>
    <cellStyle name="40% - Accent3 2 2 2 23 2" xfId="38099"/>
    <cellStyle name="40% - Accent3 2 2 2 24" xfId="15980"/>
    <cellStyle name="40% - Accent3 2 2 2 24 2" xfId="38755"/>
    <cellStyle name="40% - Accent3 2 2 2 25" xfId="16636"/>
    <cellStyle name="40% - Accent3 2 2 2 25 2" xfId="39411"/>
    <cellStyle name="40% - Accent3 2 2 2 26" xfId="17292"/>
    <cellStyle name="40% - Accent3 2 2 2 26 2" xfId="40067"/>
    <cellStyle name="40% - Accent3 2 2 2 27" xfId="17948"/>
    <cellStyle name="40% - Accent3 2 2 2 27 2" xfId="40723"/>
    <cellStyle name="40% - Accent3 2 2 2 28" xfId="18604"/>
    <cellStyle name="40% - Accent3 2 2 2 28 2" xfId="41379"/>
    <cellStyle name="40% - Accent3 2 2 2 29" xfId="19260"/>
    <cellStyle name="40% - Accent3 2 2 2 29 2" xfId="42035"/>
    <cellStyle name="40% - Accent3 2 2 2 3" xfId="1220"/>
    <cellStyle name="40% - Accent3 2 2 2 3 2" xfId="2860"/>
    <cellStyle name="40% - Accent3 2 2 2 3 2 2" xfId="25635"/>
    <cellStyle name="40% - Accent3 2 2 2 3 3" xfId="23995"/>
    <cellStyle name="40% - Accent3 2 2 2 30" xfId="19916"/>
    <cellStyle name="40% - Accent3 2 2 2 30 2" xfId="42691"/>
    <cellStyle name="40% - Accent3 2 2 2 31" xfId="20572"/>
    <cellStyle name="40% - Accent3 2 2 2 31 2" xfId="43347"/>
    <cellStyle name="40% - Accent3 2 2 2 32" xfId="21228"/>
    <cellStyle name="40% - Accent3 2 2 2 32 2" xfId="44003"/>
    <cellStyle name="40% - Accent3 2 2 2 33" xfId="21884"/>
    <cellStyle name="40% - Accent3 2 2 2 33 2" xfId="44659"/>
    <cellStyle name="40% - Accent3 2 2 2 34" xfId="22540"/>
    <cellStyle name="40% - Accent3 2 2 2 34 2" xfId="45315"/>
    <cellStyle name="40% - Accent3 2 2 2 35" xfId="23339"/>
    <cellStyle name="40% - Accent3 2 2 2 4" xfId="1876"/>
    <cellStyle name="40% - Accent3 2 2 2 4 2" xfId="3516"/>
    <cellStyle name="40% - Accent3 2 2 2 4 2 2" xfId="26291"/>
    <cellStyle name="40% - Accent3 2 2 2 4 3" xfId="24651"/>
    <cellStyle name="40% - Accent3 2 2 2 5" xfId="4172"/>
    <cellStyle name="40% - Accent3 2 2 2 5 2" xfId="26947"/>
    <cellStyle name="40% - Accent3 2 2 2 6" xfId="4828"/>
    <cellStyle name="40% - Accent3 2 2 2 6 2" xfId="27603"/>
    <cellStyle name="40% - Accent3 2 2 2 7" xfId="5484"/>
    <cellStyle name="40% - Accent3 2 2 2 7 2" xfId="28259"/>
    <cellStyle name="40% - Accent3 2 2 2 8" xfId="6140"/>
    <cellStyle name="40% - Accent3 2 2 2 8 2" xfId="28915"/>
    <cellStyle name="40% - Accent3 2 2 2 9" xfId="2532"/>
    <cellStyle name="40% - Accent3 2 2 2 9 2" xfId="25307"/>
    <cellStyle name="40% - Accent3 2 2 20" xfId="12515"/>
    <cellStyle name="40% - Accent3 2 2 20 2" xfId="35290"/>
    <cellStyle name="40% - Accent3 2 2 21" xfId="13171"/>
    <cellStyle name="40% - Accent3 2 2 21 2" xfId="35946"/>
    <cellStyle name="40% - Accent3 2 2 22" xfId="13827"/>
    <cellStyle name="40% - Accent3 2 2 22 2" xfId="36602"/>
    <cellStyle name="40% - Accent3 2 2 23" xfId="14483"/>
    <cellStyle name="40% - Accent3 2 2 23 2" xfId="37258"/>
    <cellStyle name="40% - Accent3 2 2 24" xfId="15139"/>
    <cellStyle name="40% - Accent3 2 2 24 2" xfId="37914"/>
    <cellStyle name="40% - Accent3 2 2 25" xfId="15795"/>
    <cellStyle name="40% - Accent3 2 2 25 2" xfId="38570"/>
    <cellStyle name="40% - Accent3 2 2 26" xfId="16451"/>
    <cellStyle name="40% - Accent3 2 2 26 2" xfId="39226"/>
    <cellStyle name="40% - Accent3 2 2 27" xfId="17107"/>
    <cellStyle name="40% - Accent3 2 2 27 2" xfId="39882"/>
    <cellStyle name="40% - Accent3 2 2 28" xfId="17763"/>
    <cellStyle name="40% - Accent3 2 2 28 2" xfId="40538"/>
    <cellStyle name="40% - Accent3 2 2 29" xfId="18419"/>
    <cellStyle name="40% - Accent3 2 2 29 2" xfId="41194"/>
    <cellStyle name="40% - Accent3 2 2 3" xfId="707"/>
    <cellStyle name="40% - Accent3 2 2 3 10" xfId="8251"/>
    <cellStyle name="40% - Accent3 2 2 3 10 2" xfId="31026"/>
    <cellStyle name="40% - Accent3 2 2 3 11" xfId="8907"/>
    <cellStyle name="40% - Accent3 2 2 3 11 2" xfId="31682"/>
    <cellStyle name="40% - Accent3 2 2 3 12" xfId="9563"/>
    <cellStyle name="40% - Accent3 2 2 3 12 2" xfId="32338"/>
    <cellStyle name="40% - Accent3 2 2 3 13" xfId="10219"/>
    <cellStyle name="40% - Accent3 2 2 3 13 2" xfId="32994"/>
    <cellStyle name="40% - Accent3 2 2 3 14" xfId="10875"/>
    <cellStyle name="40% - Accent3 2 2 3 14 2" xfId="33650"/>
    <cellStyle name="40% - Accent3 2 2 3 15" xfId="11531"/>
    <cellStyle name="40% - Accent3 2 2 3 15 2" xfId="34306"/>
    <cellStyle name="40% - Accent3 2 2 3 16" xfId="12187"/>
    <cellStyle name="40% - Accent3 2 2 3 16 2" xfId="34962"/>
    <cellStyle name="40% - Accent3 2 2 3 17" xfId="12843"/>
    <cellStyle name="40% - Accent3 2 2 3 17 2" xfId="35618"/>
    <cellStyle name="40% - Accent3 2 2 3 18" xfId="13499"/>
    <cellStyle name="40% - Accent3 2 2 3 18 2" xfId="36274"/>
    <cellStyle name="40% - Accent3 2 2 3 19" xfId="14155"/>
    <cellStyle name="40% - Accent3 2 2 3 19 2" xfId="36930"/>
    <cellStyle name="40% - Accent3 2 2 3 2" xfId="1363"/>
    <cellStyle name="40% - Accent3 2 2 3 2 2" xfId="3659"/>
    <cellStyle name="40% - Accent3 2 2 3 2 2 2" xfId="26434"/>
    <cellStyle name="40% - Accent3 2 2 3 2 3" xfId="24138"/>
    <cellStyle name="40% - Accent3 2 2 3 20" xfId="14811"/>
    <cellStyle name="40% - Accent3 2 2 3 20 2" xfId="37586"/>
    <cellStyle name="40% - Accent3 2 2 3 21" xfId="15467"/>
    <cellStyle name="40% - Accent3 2 2 3 21 2" xfId="38242"/>
    <cellStyle name="40% - Accent3 2 2 3 22" xfId="16123"/>
    <cellStyle name="40% - Accent3 2 2 3 22 2" xfId="38898"/>
    <cellStyle name="40% - Accent3 2 2 3 23" xfId="16779"/>
    <cellStyle name="40% - Accent3 2 2 3 23 2" xfId="39554"/>
    <cellStyle name="40% - Accent3 2 2 3 24" xfId="17435"/>
    <cellStyle name="40% - Accent3 2 2 3 24 2" xfId="40210"/>
    <cellStyle name="40% - Accent3 2 2 3 25" xfId="18091"/>
    <cellStyle name="40% - Accent3 2 2 3 25 2" xfId="40866"/>
    <cellStyle name="40% - Accent3 2 2 3 26" xfId="18747"/>
    <cellStyle name="40% - Accent3 2 2 3 26 2" xfId="41522"/>
    <cellStyle name="40% - Accent3 2 2 3 27" xfId="19403"/>
    <cellStyle name="40% - Accent3 2 2 3 27 2" xfId="42178"/>
    <cellStyle name="40% - Accent3 2 2 3 28" xfId="20059"/>
    <cellStyle name="40% - Accent3 2 2 3 28 2" xfId="42834"/>
    <cellStyle name="40% - Accent3 2 2 3 29" xfId="20715"/>
    <cellStyle name="40% - Accent3 2 2 3 29 2" xfId="43490"/>
    <cellStyle name="40% - Accent3 2 2 3 3" xfId="2019"/>
    <cellStyle name="40% - Accent3 2 2 3 3 2" xfId="4315"/>
    <cellStyle name="40% - Accent3 2 2 3 3 2 2" xfId="27090"/>
    <cellStyle name="40% - Accent3 2 2 3 3 3" xfId="24794"/>
    <cellStyle name="40% - Accent3 2 2 3 30" xfId="21371"/>
    <cellStyle name="40% - Accent3 2 2 3 30 2" xfId="44146"/>
    <cellStyle name="40% - Accent3 2 2 3 31" xfId="22027"/>
    <cellStyle name="40% - Accent3 2 2 3 31 2" xfId="44802"/>
    <cellStyle name="40% - Accent3 2 2 3 32" xfId="22683"/>
    <cellStyle name="40% - Accent3 2 2 3 32 2" xfId="45458"/>
    <cellStyle name="40% - Accent3 2 2 3 33" xfId="23482"/>
    <cellStyle name="40% - Accent3 2 2 3 4" xfId="4971"/>
    <cellStyle name="40% - Accent3 2 2 3 4 2" xfId="27746"/>
    <cellStyle name="40% - Accent3 2 2 3 5" xfId="5627"/>
    <cellStyle name="40% - Accent3 2 2 3 5 2" xfId="28402"/>
    <cellStyle name="40% - Accent3 2 2 3 6" xfId="6283"/>
    <cellStyle name="40% - Accent3 2 2 3 6 2" xfId="29058"/>
    <cellStyle name="40% - Accent3 2 2 3 7" xfId="3003"/>
    <cellStyle name="40% - Accent3 2 2 3 7 2" xfId="25778"/>
    <cellStyle name="40% - Accent3 2 2 3 8" xfId="6939"/>
    <cellStyle name="40% - Accent3 2 2 3 8 2" xfId="29714"/>
    <cellStyle name="40% - Accent3 2 2 3 9" xfId="7595"/>
    <cellStyle name="40% - Accent3 2 2 3 9 2" xfId="30370"/>
    <cellStyle name="40% - Accent3 2 2 30" xfId="19075"/>
    <cellStyle name="40% - Accent3 2 2 30 2" xfId="41850"/>
    <cellStyle name="40% - Accent3 2 2 31" xfId="19731"/>
    <cellStyle name="40% - Accent3 2 2 31 2" xfId="42506"/>
    <cellStyle name="40% - Accent3 2 2 32" xfId="20387"/>
    <cellStyle name="40% - Accent3 2 2 32 2" xfId="43162"/>
    <cellStyle name="40% - Accent3 2 2 33" xfId="21043"/>
    <cellStyle name="40% - Accent3 2 2 33 2" xfId="43818"/>
    <cellStyle name="40% - Accent3 2 2 34" xfId="21699"/>
    <cellStyle name="40% - Accent3 2 2 34 2" xfId="44474"/>
    <cellStyle name="40% - Accent3 2 2 35" xfId="22355"/>
    <cellStyle name="40% - Accent3 2 2 35 2" xfId="45130"/>
    <cellStyle name="40% - Accent3 2 2 36" xfId="23011"/>
    <cellStyle name="40% - Accent3 2 2 4" xfId="380"/>
    <cellStyle name="40% - Accent3 2 2 4 2" xfId="2675"/>
    <cellStyle name="40% - Accent3 2 2 4 2 2" xfId="25450"/>
    <cellStyle name="40% - Accent3 2 2 4 3" xfId="23154"/>
    <cellStyle name="40% - Accent3 2 2 5" xfId="1035"/>
    <cellStyle name="40% - Accent3 2 2 5 2" xfId="3331"/>
    <cellStyle name="40% - Accent3 2 2 5 2 2" xfId="26106"/>
    <cellStyle name="40% - Accent3 2 2 5 3" xfId="23810"/>
    <cellStyle name="40% - Accent3 2 2 6" xfId="1691"/>
    <cellStyle name="40% - Accent3 2 2 6 2" xfId="3987"/>
    <cellStyle name="40% - Accent3 2 2 6 2 2" xfId="26762"/>
    <cellStyle name="40% - Accent3 2 2 6 3" xfId="24466"/>
    <cellStyle name="40% - Accent3 2 2 7" xfId="4643"/>
    <cellStyle name="40% - Accent3 2 2 7 2" xfId="27418"/>
    <cellStyle name="40% - Accent3 2 2 8" xfId="5299"/>
    <cellStyle name="40% - Accent3 2 2 8 2" xfId="28074"/>
    <cellStyle name="40% - Accent3 2 2 9" xfId="5955"/>
    <cellStyle name="40% - Accent3 2 2 9 2" xfId="28730"/>
    <cellStyle name="40% - Accent3 2 20" xfId="11773"/>
    <cellStyle name="40% - Accent3 2 20 2" xfId="34548"/>
    <cellStyle name="40% - Accent3 2 21" xfId="12429"/>
    <cellStyle name="40% - Accent3 2 21 2" xfId="35204"/>
    <cellStyle name="40% - Accent3 2 22" xfId="13085"/>
    <cellStyle name="40% - Accent3 2 22 2" xfId="35860"/>
    <cellStyle name="40% - Accent3 2 23" xfId="13741"/>
    <cellStyle name="40% - Accent3 2 23 2" xfId="36516"/>
    <cellStyle name="40% - Accent3 2 24" xfId="14397"/>
    <cellStyle name="40% - Accent3 2 24 2" xfId="37172"/>
    <cellStyle name="40% - Accent3 2 25" xfId="15053"/>
    <cellStyle name="40% - Accent3 2 25 2" xfId="37828"/>
    <cellStyle name="40% - Accent3 2 26" xfId="15709"/>
    <cellStyle name="40% - Accent3 2 26 2" xfId="38484"/>
    <cellStyle name="40% - Accent3 2 27" xfId="16365"/>
    <cellStyle name="40% - Accent3 2 27 2" xfId="39140"/>
    <cellStyle name="40% - Accent3 2 28" xfId="17021"/>
    <cellStyle name="40% - Accent3 2 28 2" xfId="39796"/>
    <cellStyle name="40% - Accent3 2 29" xfId="17677"/>
    <cellStyle name="40% - Accent3 2 29 2" xfId="40452"/>
    <cellStyle name="40% - Accent3 2 3" xfId="479"/>
    <cellStyle name="40% - Accent3 2 3 10" xfId="6710"/>
    <cellStyle name="40% - Accent3 2 3 10 2" xfId="29485"/>
    <cellStyle name="40% - Accent3 2 3 11" xfId="7366"/>
    <cellStyle name="40% - Accent3 2 3 11 2" xfId="30141"/>
    <cellStyle name="40% - Accent3 2 3 12" xfId="8022"/>
    <cellStyle name="40% - Accent3 2 3 12 2" xfId="30797"/>
    <cellStyle name="40% - Accent3 2 3 13" xfId="8678"/>
    <cellStyle name="40% - Accent3 2 3 13 2" xfId="31453"/>
    <cellStyle name="40% - Accent3 2 3 14" xfId="9334"/>
    <cellStyle name="40% - Accent3 2 3 14 2" xfId="32109"/>
    <cellStyle name="40% - Accent3 2 3 15" xfId="9990"/>
    <cellStyle name="40% - Accent3 2 3 15 2" xfId="32765"/>
    <cellStyle name="40% - Accent3 2 3 16" xfId="10646"/>
    <cellStyle name="40% - Accent3 2 3 16 2" xfId="33421"/>
    <cellStyle name="40% - Accent3 2 3 17" xfId="11302"/>
    <cellStyle name="40% - Accent3 2 3 17 2" xfId="34077"/>
    <cellStyle name="40% - Accent3 2 3 18" xfId="11958"/>
    <cellStyle name="40% - Accent3 2 3 18 2" xfId="34733"/>
    <cellStyle name="40% - Accent3 2 3 19" xfId="12614"/>
    <cellStyle name="40% - Accent3 2 3 19 2" xfId="35389"/>
    <cellStyle name="40% - Accent3 2 3 2" xfId="806"/>
    <cellStyle name="40% - Accent3 2 3 2 10" xfId="8350"/>
    <cellStyle name="40% - Accent3 2 3 2 10 2" xfId="31125"/>
    <cellStyle name="40% - Accent3 2 3 2 11" xfId="9006"/>
    <cellStyle name="40% - Accent3 2 3 2 11 2" xfId="31781"/>
    <cellStyle name="40% - Accent3 2 3 2 12" xfId="9662"/>
    <cellStyle name="40% - Accent3 2 3 2 12 2" xfId="32437"/>
    <cellStyle name="40% - Accent3 2 3 2 13" xfId="10318"/>
    <cellStyle name="40% - Accent3 2 3 2 13 2" xfId="33093"/>
    <cellStyle name="40% - Accent3 2 3 2 14" xfId="10974"/>
    <cellStyle name="40% - Accent3 2 3 2 14 2" xfId="33749"/>
    <cellStyle name="40% - Accent3 2 3 2 15" xfId="11630"/>
    <cellStyle name="40% - Accent3 2 3 2 15 2" xfId="34405"/>
    <cellStyle name="40% - Accent3 2 3 2 16" xfId="12286"/>
    <cellStyle name="40% - Accent3 2 3 2 16 2" xfId="35061"/>
    <cellStyle name="40% - Accent3 2 3 2 17" xfId="12942"/>
    <cellStyle name="40% - Accent3 2 3 2 17 2" xfId="35717"/>
    <cellStyle name="40% - Accent3 2 3 2 18" xfId="13598"/>
    <cellStyle name="40% - Accent3 2 3 2 18 2" xfId="36373"/>
    <cellStyle name="40% - Accent3 2 3 2 19" xfId="14254"/>
    <cellStyle name="40% - Accent3 2 3 2 19 2" xfId="37029"/>
    <cellStyle name="40% - Accent3 2 3 2 2" xfId="1462"/>
    <cellStyle name="40% - Accent3 2 3 2 2 2" xfId="3758"/>
    <cellStyle name="40% - Accent3 2 3 2 2 2 2" xfId="26533"/>
    <cellStyle name="40% - Accent3 2 3 2 2 3" xfId="24237"/>
    <cellStyle name="40% - Accent3 2 3 2 20" xfId="14910"/>
    <cellStyle name="40% - Accent3 2 3 2 20 2" xfId="37685"/>
    <cellStyle name="40% - Accent3 2 3 2 21" xfId="15566"/>
    <cellStyle name="40% - Accent3 2 3 2 21 2" xfId="38341"/>
    <cellStyle name="40% - Accent3 2 3 2 22" xfId="16222"/>
    <cellStyle name="40% - Accent3 2 3 2 22 2" xfId="38997"/>
    <cellStyle name="40% - Accent3 2 3 2 23" xfId="16878"/>
    <cellStyle name="40% - Accent3 2 3 2 23 2" xfId="39653"/>
    <cellStyle name="40% - Accent3 2 3 2 24" xfId="17534"/>
    <cellStyle name="40% - Accent3 2 3 2 24 2" xfId="40309"/>
    <cellStyle name="40% - Accent3 2 3 2 25" xfId="18190"/>
    <cellStyle name="40% - Accent3 2 3 2 25 2" xfId="40965"/>
    <cellStyle name="40% - Accent3 2 3 2 26" xfId="18846"/>
    <cellStyle name="40% - Accent3 2 3 2 26 2" xfId="41621"/>
    <cellStyle name="40% - Accent3 2 3 2 27" xfId="19502"/>
    <cellStyle name="40% - Accent3 2 3 2 27 2" xfId="42277"/>
    <cellStyle name="40% - Accent3 2 3 2 28" xfId="20158"/>
    <cellStyle name="40% - Accent3 2 3 2 28 2" xfId="42933"/>
    <cellStyle name="40% - Accent3 2 3 2 29" xfId="20814"/>
    <cellStyle name="40% - Accent3 2 3 2 29 2" xfId="43589"/>
    <cellStyle name="40% - Accent3 2 3 2 3" xfId="2118"/>
    <cellStyle name="40% - Accent3 2 3 2 3 2" xfId="4414"/>
    <cellStyle name="40% - Accent3 2 3 2 3 2 2" xfId="27189"/>
    <cellStyle name="40% - Accent3 2 3 2 3 3" xfId="24893"/>
    <cellStyle name="40% - Accent3 2 3 2 30" xfId="21470"/>
    <cellStyle name="40% - Accent3 2 3 2 30 2" xfId="44245"/>
    <cellStyle name="40% - Accent3 2 3 2 31" xfId="22126"/>
    <cellStyle name="40% - Accent3 2 3 2 31 2" xfId="44901"/>
    <cellStyle name="40% - Accent3 2 3 2 32" xfId="22782"/>
    <cellStyle name="40% - Accent3 2 3 2 32 2" xfId="45557"/>
    <cellStyle name="40% - Accent3 2 3 2 33" xfId="23581"/>
    <cellStyle name="40% - Accent3 2 3 2 4" xfId="5070"/>
    <cellStyle name="40% - Accent3 2 3 2 4 2" xfId="27845"/>
    <cellStyle name="40% - Accent3 2 3 2 5" xfId="5726"/>
    <cellStyle name="40% - Accent3 2 3 2 5 2" xfId="28501"/>
    <cellStyle name="40% - Accent3 2 3 2 6" xfId="6382"/>
    <cellStyle name="40% - Accent3 2 3 2 6 2" xfId="29157"/>
    <cellStyle name="40% - Accent3 2 3 2 7" xfId="3102"/>
    <cellStyle name="40% - Accent3 2 3 2 7 2" xfId="25877"/>
    <cellStyle name="40% - Accent3 2 3 2 8" xfId="7038"/>
    <cellStyle name="40% - Accent3 2 3 2 8 2" xfId="29813"/>
    <cellStyle name="40% - Accent3 2 3 2 9" xfId="7694"/>
    <cellStyle name="40% - Accent3 2 3 2 9 2" xfId="30469"/>
    <cellStyle name="40% - Accent3 2 3 20" xfId="13270"/>
    <cellStyle name="40% - Accent3 2 3 20 2" xfId="36045"/>
    <cellStyle name="40% - Accent3 2 3 21" xfId="13926"/>
    <cellStyle name="40% - Accent3 2 3 21 2" xfId="36701"/>
    <cellStyle name="40% - Accent3 2 3 22" xfId="14582"/>
    <cellStyle name="40% - Accent3 2 3 22 2" xfId="37357"/>
    <cellStyle name="40% - Accent3 2 3 23" xfId="15238"/>
    <cellStyle name="40% - Accent3 2 3 23 2" xfId="38013"/>
    <cellStyle name="40% - Accent3 2 3 24" xfId="15894"/>
    <cellStyle name="40% - Accent3 2 3 24 2" xfId="38669"/>
    <cellStyle name="40% - Accent3 2 3 25" xfId="16550"/>
    <cellStyle name="40% - Accent3 2 3 25 2" xfId="39325"/>
    <cellStyle name="40% - Accent3 2 3 26" xfId="17206"/>
    <cellStyle name="40% - Accent3 2 3 26 2" xfId="39981"/>
    <cellStyle name="40% - Accent3 2 3 27" xfId="17862"/>
    <cellStyle name="40% - Accent3 2 3 27 2" xfId="40637"/>
    <cellStyle name="40% - Accent3 2 3 28" xfId="18518"/>
    <cellStyle name="40% - Accent3 2 3 28 2" xfId="41293"/>
    <cellStyle name="40% - Accent3 2 3 29" xfId="19174"/>
    <cellStyle name="40% - Accent3 2 3 29 2" xfId="41949"/>
    <cellStyle name="40% - Accent3 2 3 3" xfId="1134"/>
    <cellStyle name="40% - Accent3 2 3 3 2" xfId="2774"/>
    <cellStyle name="40% - Accent3 2 3 3 2 2" xfId="25549"/>
    <cellStyle name="40% - Accent3 2 3 3 3" xfId="23909"/>
    <cellStyle name="40% - Accent3 2 3 30" xfId="19830"/>
    <cellStyle name="40% - Accent3 2 3 30 2" xfId="42605"/>
    <cellStyle name="40% - Accent3 2 3 31" xfId="20486"/>
    <cellStyle name="40% - Accent3 2 3 31 2" xfId="43261"/>
    <cellStyle name="40% - Accent3 2 3 32" xfId="21142"/>
    <cellStyle name="40% - Accent3 2 3 32 2" xfId="43917"/>
    <cellStyle name="40% - Accent3 2 3 33" xfId="21798"/>
    <cellStyle name="40% - Accent3 2 3 33 2" xfId="44573"/>
    <cellStyle name="40% - Accent3 2 3 34" xfId="22454"/>
    <cellStyle name="40% - Accent3 2 3 34 2" xfId="45229"/>
    <cellStyle name="40% - Accent3 2 3 35" xfId="23253"/>
    <cellStyle name="40% - Accent3 2 3 4" xfId="1790"/>
    <cellStyle name="40% - Accent3 2 3 4 2" xfId="3430"/>
    <cellStyle name="40% - Accent3 2 3 4 2 2" xfId="26205"/>
    <cellStyle name="40% - Accent3 2 3 4 3" xfId="24565"/>
    <cellStyle name="40% - Accent3 2 3 5" xfId="4086"/>
    <cellStyle name="40% - Accent3 2 3 5 2" xfId="26861"/>
    <cellStyle name="40% - Accent3 2 3 6" xfId="4742"/>
    <cellStyle name="40% - Accent3 2 3 6 2" xfId="27517"/>
    <cellStyle name="40% - Accent3 2 3 7" xfId="5398"/>
    <cellStyle name="40% - Accent3 2 3 7 2" xfId="28173"/>
    <cellStyle name="40% - Accent3 2 3 8" xfId="6054"/>
    <cellStyle name="40% - Accent3 2 3 8 2" xfId="28829"/>
    <cellStyle name="40% - Accent3 2 3 9" xfId="2446"/>
    <cellStyle name="40% - Accent3 2 3 9 2" xfId="25221"/>
    <cellStyle name="40% - Accent3 2 30" xfId="18333"/>
    <cellStyle name="40% - Accent3 2 30 2" xfId="41108"/>
    <cellStyle name="40% - Accent3 2 31" xfId="18989"/>
    <cellStyle name="40% - Accent3 2 31 2" xfId="41764"/>
    <cellStyle name="40% - Accent3 2 32" xfId="19645"/>
    <cellStyle name="40% - Accent3 2 32 2" xfId="42420"/>
    <cellStyle name="40% - Accent3 2 33" xfId="20301"/>
    <cellStyle name="40% - Accent3 2 33 2" xfId="43076"/>
    <cellStyle name="40% - Accent3 2 34" xfId="20957"/>
    <cellStyle name="40% - Accent3 2 34 2" xfId="43732"/>
    <cellStyle name="40% - Accent3 2 35" xfId="21613"/>
    <cellStyle name="40% - Accent3 2 35 2" xfId="44388"/>
    <cellStyle name="40% - Accent3 2 36" xfId="22269"/>
    <cellStyle name="40% - Accent3 2 36 2" xfId="45044"/>
    <cellStyle name="40% - Accent3 2 37" xfId="208"/>
    <cellStyle name="40% - Accent3 2 38" xfId="22925"/>
    <cellStyle name="40% - Accent3 2 4" xfId="621"/>
    <cellStyle name="40% - Accent3 2 4 10" xfId="8165"/>
    <cellStyle name="40% - Accent3 2 4 10 2" xfId="30940"/>
    <cellStyle name="40% - Accent3 2 4 11" xfId="8821"/>
    <cellStyle name="40% - Accent3 2 4 11 2" xfId="31596"/>
    <cellStyle name="40% - Accent3 2 4 12" xfId="9477"/>
    <cellStyle name="40% - Accent3 2 4 12 2" xfId="32252"/>
    <cellStyle name="40% - Accent3 2 4 13" xfId="10133"/>
    <cellStyle name="40% - Accent3 2 4 13 2" xfId="32908"/>
    <cellStyle name="40% - Accent3 2 4 14" xfId="10789"/>
    <cellStyle name="40% - Accent3 2 4 14 2" xfId="33564"/>
    <cellStyle name="40% - Accent3 2 4 15" xfId="11445"/>
    <cellStyle name="40% - Accent3 2 4 15 2" xfId="34220"/>
    <cellStyle name="40% - Accent3 2 4 16" xfId="12101"/>
    <cellStyle name="40% - Accent3 2 4 16 2" xfId="34876"/>
    <cellStyle name="40% - Accent3 2 4 17" xfId="12757"/>
    <cellStyle name="40% - Accent3 2 4 17 2" xfId="35532"/>
    <cellStyle name="40% - Accent3 2 4 18" xfId="13413"/>
    <cellStyle name="40% - Accent3 2 4 18 2" xfId="36188"/>
    <cellStyle name="40% - Accent3 2 4 19" xfId="14069"/>
    <cellStyle name="40% - Accent3 2 4 19 2" xfId="36844"/>
    <cellStyle name="40% - Accent3 2 4 2" xfId="1277"/>
    <cellStyle name="40% - Accent3 2 4 2 2" xfId="3573"/>
    <cellStyle name="40% - Accent3 2 4 2 2 2" xfId="26348"/>
    <cellStyle name="40% - Accent3 2 4 2 3" xfId="24052"/>
    <cellStyle name="40% - Accent3 2 4 20" xfId="14725"/>
    <cellStyle name="40% - Accent3 2 4 20 2" xfId="37500"/>
    <cellStyle name="40% - Accent3 2 4 21" xfId="15381"/>
    <cellStyle name="40% - Accent3 2 4 21 2" xfId="38156"/>
    <cellStyle name="40% - Accent3 2 4 22" xfId="16037"/>
    <cellStyle name="40% - Accent3 2 4 22 2" xfId="38812"/>
    <cellStyle name="40% - Accent3 2 4 23" xfId="16693"/>
    <cellStyle name="40% - Accent3 2 4 23 2" xfId="39468"/>
    <cellStyle name="40% - Accent3 2 4 24" xfId="17349"/>
    <cellStyle name="40% - Accent3 2 4 24 2" xfId="40124"/>
    <cellStyle name="40% - Accent3 2 4 25" xfId="18005"/>
    <cellStyle name="40% - Accent3 2 4 25 2" xfId="40780"/>
    <cellStyle name="40% - Accent3 2 4 26" xfId="18661"/>
    <cellStyle name="40% - Accent3 2 4 26 2" xfId="41436"/>
    <cellStyle name="40% - Accent3 2 4 27" xfId="19317"/>
    <cellStyle name="40% - Accent3 2 4 27 2" xfId="42092"/>
    <cellStyle name="40% - Accent3 2 4 28" xfId="19973"/>
    <cellStyle name="40% - Accent3 2 4 28 2" xfId="42748"/>
    <cellStyle name="40% - Accent3 2 4 29" xfId="20629"/>
    <cellStyle name="40% - Accent3 2 4 29 2" xfId="43404"/>
    <cellStyle name="40% - Accent3 2 4 3" xfId="1933"/>
    <cellStyle name="40% - Accent3 2 4 3 2" xfId="4229"/>
    <cellStyle name="40% - Accent3 2 4 3 2 2" xfId="27004"/>
    <cellStyle name="40% - Accent3 2 4 3 3" xfId="24708"/>
    <cellStyle name="40% - Accent3 2 4 30" xfId="21285"/>
    <cellStyle name="40% - Accent3 2 4 30 2" xfId="44060"/>
    <cellStyle name="40% - Accent3 2 4 31" xfId="21941"/>
    <cellStyle name="40% - Accent3 2 4 31 2" xfId="44716"/>
    <cellStyle name="40% - Accent3 2 4 32" xfId="22597"/>
    <cellStyle name="40% - Accent3 2 4 32 2" xfId="45372"/>
    <cellStyle name="40% - Accent3 2 4 33" xfId="23396"/>
    <cellStyle name="40% - Accent3 2 4 4" xfId="4885"/>
    <cellStyle name="40% - Accent3 2 4 4 2" xfId="27660"/>
    <cellStyle name="40% - Accent3 2 4 5" xfId="5541"/>
    <cellStyle name="40% - Accent3 2 4 5 2" xfId="28316"/>
    <cellStyle name="40% - Accent3 2 4 6" xfId="6197"/>
    <cellStyle name="40% - Accent3 2 4 6 2" xfId="28972"/>
    <cellStyle name="40% - Accent3 2 4 7" xfId="2917"/>
    <cellStyle name="40% - Accent3 2 4 7 2" xfId="25692"/>
    <cellStyle name="40% - Accent3 2 4 8" xfId="6853"/>
    <cellStyle name="40% - Accent3 2 4 8 2" xfId="29628"/>
    <cellStyle name="40% - Accent3 2 4 9" xfId="7509"/>
    <cellStyle name="40% - Accent3 2 4 9 2" xfId="30284"/>
    <cellStyle name="40% - Accent3 2 5" xfId="294"/>
    <cellStyle name="40% - Accent3 2 5 2" xfId="2589"/>
    <cellStyle name="40% - Accent3 2 5 2 2" xfId="25364"/>
    <cellStyle name="40% - Accent3 2 5 3" xfId="23068"/>
    <cellStyle name="40% - Accent3 2 6" xfId="949"/>
    <cellStyle name="40% - Accent3 2 6 2" xfId="3245"/>
    <cellStyle name="40% - Accent3 2 6 2 2" xfId="26020"/>
    <cellStyle name="40% - Accent3 2 6 3" xfId="23724"/>
    <cellStyle name="40% - Accent3 2 7" xfId="1605"/>
    <cellStyle name="40% - Accent3 2 7 2" xfId="3901"/>
    <cellStyle name="40% - Accent3 2 7 2 2" xfId="26676"/>
    <cellStyle name="40% - Accent3 2 7 3" xfId="24380"/>
    <cellStyle name="40% - Accent3 2 8" xfId="4557"/>
    <cellStyle name="40% - Accent3 2 8 2" xfId="27332"/>
    <cellStyle name="40% - Accent3 2 9" xfId="5213"/>
    <cellStyle name="40% - Accent3 2 9 2" xfId="27988"/>
    <cellStyle name="40% - Accent3 20" xfId="7165"/>
    <cellStyle name="40% - Accent3 20 2" xfId="29940"/>
    <cellStyle name="40% - Accent3 21" xfId="7821"/>
    <cellStyle name="40% - Accent3 21 2" xfId="30596"/>
    <cellStyle name="40% - Accent3 22" xfId="8477"/>
    <cellStyle name="40% - Accent3 22 2" xfId="31252"/>
    <cellStyle name="40% - Accent3 23" xfId="9133"/>
    <cellStyle name="40% - Accent3 23 2" xfId="31908"/>
    <cellStyle name="40% - Accent3 24" xfId="9789"/>
    <cellStyle name="40% - Accent3 24 2" xfId="32564"/>
    <cellStyle name="40% - Accent3 25" xfId="10445"/>
    <cellStyle name="40% - Accent3 25 2" xfId="33220"/>
    <cellStyle name="40% - Accent3 26" xfId="11101"/>
    <cellStyle name="40% - Accent3 26 2" xfId="33876"/>
    <cellStyle name="40% - Accent3 27" xfId="11757"/>
    <cellStyle name="40% - Accent3 27 2" xfId="34532"/>
    <cellStyle name="40% - Accent3 28" xfId="12413"/>
    <cellStyle name="40% - Accent3 28 2" xfId="35188"/>
    <cellStyle name="40% - Accent3 29" xfId="13069"/>
    <cellStyle name="40% - Accent3 29 2" xfId="35844"/>
    <cellStyle name="40% - Accent3 3" xfId="57"/>
    <cellStyle name="40% - Accent3 3 10" xfId="5884"/>
    <cellStyle name="40% - Accent3 3 10 2" xfId="28659"/>
    <cellStyle name="40% - Accent3 3 11" xfId="2276"/>
    <cellStyle name="40% - Accent3 3 11 2" xfId="25051"/>
    <cellStyle name="40% - Accent3 3 12" xfId="6540"/>
    <cellStyle name="40% - Accent3 3 12 2" xfId="29315"/>
    <cellStyle name="40% - Accent3 3 13" xfId="7196"/>
    <cellStyle name="40% - Accent3 3 13 2" xfId="29971"/>
    <cellStyle name="40% - Accent3 3 14" xfId="7852"/>
    <cellStyle name="40% - Accent3 3 14 2" xfId="30627"/>
    <cellStyle name="40% - Accent3 3 15" xfId="8508"/>
    <cellStyle name="40% - Accent3 3 15 2" xfId="31283"/>
    <cellStyle name="40% - Accent3 3 16" xfId="9164"/>
    <cellStyle name="40% - Accent3 3 16 2" xfId="31939"/>
    <cellStyle name="40% - Accent3 3 17" xfId="9820"/>
    <cellStyle name="40% - Accent3 3 17 2" xfId="32595"/>
    <cellStyle name="40% - Accent3 3 18" xfId="10476"/>
    <cellStyle name="40% - Accent3 3 18 2" xfId="33251"/>
    <cellStyle name="40% - Accent3 3 19" xfId="11132"/>
    <cellStyle name="40% - Accent3 3 19 2" xfId="33907"/>
    <cellStyle name="40% - Accent3 3 2" xfId="135"/>
    <cellStyle name="40% - Accent3 3 2 10" xfId="2331"/>
    <cellStyle name="40% - Accent3 3 2 10 2" xfId="25106"/>
    <cellStyle name="40% - Accent3 3 2 11" xfId="6595"/>
    <cellStyle name="40% - Accent3 3 2 11 2" xfId="29370"/>
    <cellStyle name="40% - Accent3 3 2 12" xfId="7251"/>
    <cellStyle name="40% - Accent3 3 2 12 2" xfId="30026"/>
    <cellStyle name="40% - Accent3 3 2 13" xfId="7907"/>
    <cellStyle name="40% - Accent3 3 2 13 2" xfId="30682"/>
    <cellStyle name="40% - Accent3 3 2 14" xfId="8563"/>
    <cellStyle name="40% - Accent3 3 2 14 2" xfId="31338"/>
    <cellStyle name="40% - Accent3 3 2 15" xfId="9219"/>
    <cellStyle name="40% - Accent3 3 2 15 2" xfId="31994"/>
    <cellStyle name="40% - Accent3 3 2 16" xfId="9875"/>
    <cellStyle name="40% - Accent3 3 2 16 2" xfId="32650"/>
    <cellStyle name="40% - Accent3 3 2 17" xfId="10531"/>
    <cellStyle name="40% - Accent3 3 2 17 2" xfId="33306"/>
    <cellStyle name="40% - Accent3 3 2 18" xfId="11187"/>
    <cellStyle name="40% - Accent3 3 2 18 2" xfId="33962"/>
    <cellStyle name="40% - Accent3 3 2 19" xfId="11843"/>
    <cellStyle name="40% - Accent3 3 2 19 2" xfId="34618"/>
    <cellStyle name="40% - Accent3 3 2 2" xfId="547"/>
    <cellStyle name="40% - Accent3 3 2 2 10" xfId="6780"/>
    <cellStyle name="40% - Accent3 3 2 2 10 2" xfId="29555"/>
    <cellStyle name="40% - Accent3 3 2 2 11" xfId="7436"/>
    <cellStyle name="40% - Accent3 3 2 2 11 2" xfId="30211"/>
    <cellStyle name="40% - Accent3 3 2 2 12" xfId="8092"/>
    <cellStyle name="40% - Accent3 3 2 2 12 2" xfId="30867"/>
    <cellStyle name="40% - Accent3 3 2 2 13" xfId="8748"/>
    <cellStyle name="40% - Accent3 3 2 2 13 2" xfId="31523"/>
    <cellStyle name="40% - Accent3 3 2 2 14" xfId="9404"/>
    <cellStyle name="40% - Accent3 3 2 2 14 2" xfId="32179"/>
    <cellStyle name="40% - Accent3 3 2 2 15" xfId="10060"/>
    <cellStyle name="40% - Accent3 3 2 2 15 2" xfId="32835"/>
    <cellStyle name="40% - Accent3 3 2 2 16" xfId="10716"/>
    <cellStyle name="40% - Accent3 3 2 2 16 2" xfId="33491"/>
    <cellStyle name="40% - Accent3 3 2 2 17" xfId="11372"/>
    <cellStyle name="40% - Accent3 3 2 2 17 2" xfId="34147"/>
    <cellStyle name="40% - Accent3 3 2 2 18" xfId="12028"/>
    <cellStyle name="40% - Accent3 3 2 2 18 2" xfId="34803"/>
    <cellStyle name="40% - Accent3 3 2 2 19" xfId="12684"/>
    <cellStyle name="40% - Accent3 3 2 2 19 2" xfId="35459"/>
    <cellStyle name="40% - Accent3 3 2 2 2" xfId="876"/>
    <cellStyle name="40% - Accent3 3 2 2 2 10" xfId="8420"/>
    <cellStyle name="40% - Accent3 3 2 2 2 10 2" xfId="31195"/>
    <cellStyle name="40% - Accent3 3 2 2 2 11" xfId="9076"/>
    <cellStyle name="40% - Accent3 3 2 2 2 11 2" xfId="31851"/>
    <cellStyle name="40% - Accent3 3 2 2 2 12" xfId="9732"/>
    <cellStyle name="40% - Accent3 3 2 2 2 12 2" xfId="32507"/>
    <cellStyle name="40% - Accent3 3 2 2 2 13" xfId="10388"/>
    <cellStyle name="40% - Accent3 3 2 2 2 13 2" xfId="33163"/>
    <cellStyle name="40% - Accent3 3 2 2 2 14" xfId="11044"/>
    <cellStyle name="40% - Accent3 3 2 2 2 14 2" xfId="33819"/>
    <cellStyle name="40% - Accent3 3 2 2 2 15" xfId="11700"/>
    <cellStyle name="40% - Accent3 3 2 2 2 15 2" xfId="34475"/>
    <cellStyle name="40% - Accent3 3 2 2 2 16" xfId="12356"/>
    <cellStyle name="40% - Accent3 3 2 2 2 16 2" xfId="35131"/>
    <cellStyle name="40% - Accent3 3 2 2 2 17" xfId="13012"/>
    <cellStyle name="40% - Accent3 3 2 2 2 17 2" xfId="35787"/>
    <cellStyle name="40% - Accent3 3 2 2 2 18" xfId="13668"/>
    <cellStyle name="40% - Accent3 3 2 2 2 18 2" xfId="36443"/>
    <cellStyle name="40% - Accent3 3 2 2 2 19" xfId="14324"/>
    <cellStyle name="40% - Accent3 3 2 2 2 19 2" xfId="37099"/>
    <cellStyle name="40% - Accent3 3 2 2 2 2" xfId="1532"/>
    <cellStyle name="40% - Accent3 3 2 2 2 2 2" xfId="3828"/>
    <cellStyle name="40% - Accent3 3 2 2 2 2 2 2" xfId="26603"/>
    <cellStyle name="40% - Accent3 3 2 2 2 2 3" xfId="24307"/>
    <cellStyle name="40% - Accent3 3 2 2 2 20" xfId="14980"/>
    <cellStyle name="40% - Accent3 3 2 2 2 20 2" xfId="37755"/>
    <cellStyle name="40% - Accent3 3 2 2 2 21" xfId="15636"/>
    <cellStyle name="40% - Accent3 3 2 2 2 21 2" xfId="38411"/>
    <cellStyle name="40% - Accent3 3 2 2 2 22" xfId="16292"/>
    <cellStyle name="40% - Accent3 3 2 2 2 22 2" xfId="39067"/>
    <cellStyle name="40% - Accent3 3 2 2 2 23" xfId="16948"/>
    <cellStyle name="40% - Accent3 3 2 2 2 23 2" xfId="39723"/>
    <cellStyle name="40% - Accent3 3 2 2 2 24" xfId="17604"/>
    <cellStyle name="40% - Accent3 3 2 2 2 24 2" xfId="40379"/>
    <cellStyle name="40% - Accent3 3 2 2 2 25" xfId="18260"/>
    <cellStyle name="40% - Accent3 3 2 2 2 25 2" xfId="41035"/>
    <cellStyle name="40% - Accent3 3 2 2 2 26" xfId="18916"/>
    <cellStyle name="40% - Accent3 3 2 2 2 26 2" xfId="41691"/>
    <cellStyle name="40% - Accent3 3 2 2 2 27" xfId="19572"/>
    <cellStyle name="40% - Accent3 3 2 2 2 27 2" xfId="42347"/>
    <cellStyle name="40% - Accent3 3 2 2 2 28" xfId="20228"/>
    <cellStyle name="40% - Accent3 3 2 2 2 28 2" xfId="43003"/>
    <cellStyle name="40% - Accent3 3 2 2 2 29" xfId="20884"/>
    <cellStyle name="40% - Accent3 3 2 2 2 29 2" xfId="43659"/>
    <cellStyle name="40% - Accent3 3 2 2 2 3" xfId="2188"/>
    <cellStyle name="40% - Accent3 3 2 2 2 3 2" xfId="4484"/>
    <cellStyle name="40% - Accent3 3 2 2 2 3 2 2" xfId="27259"/>
    <cellStyle name="40% - Accent3 3 2 2 2 3 3" xfId="24963"/>
    <cellStyle name="40% - Accent3 3 2 2 2 30" xfId="21540"/>
    <cellStyle name="40% - Accent3 3 2 2 2 30 2" xfId="44315"/>
    <cellStyle name="40% - Accent3 3 2 2 2 31" xfId="22196"/>
    <cellStyle name="40% - Accent3 3 2 2 2 31 2" xfId="44971"/>
    <cellStyle name="40% - Accent3 3 2 2 2 32" xfId="22852"/>
    <cellStyle name="40% - Accent3 3 2 2 2 32 2" xfId="45627"/>
    <cellStyle name="40% - Accent3 3 2 2 2 33" xfId="23651"/>
    <cellStyle name="40% - Accent3 3 2 2 2 4" xfId="5140"/>
    <cellStyle name="40% - Accent3 3 2 2 2 4 2" xfId="27915"/>
    <cellStyle name="40% - Accent3 3 2 2 2 5" xfId="5796"/>
    <cellStyle name="40% - Accent3 3 2 2 2 5 2" xfId="28571"/>
    <cellStyle name="40% - Accent3 3 2 2 2 6" xfId="6452"/>
    <cellStyle name="40% - Accent3 3 2 2 2 6 2" xfId="29227"/>
    <cellStyle name="40% - Accent3 3 2 2 2 7" xfId="3172"/>
    <cellStyle name="40% - Accent3 3 2 2 2 7 2" xfId="25947"/>
    <cellStyle name="40% - Accent3 3 2 2 2 8" xfId="7108"/>
    <cellStyle name="40% - Accent3 3 2 2 2 8 2" xfId="29883"/>
    <cellStyle name="40% - Accent3 3 2 2 2 9" xfId="7764"/>
    <cellStyle name="40% - Accent3 3 2 2 2 9 2" xfId="30539"/>
    <cellStyle name="40% - Accent3 3 2 2 20" xfId="13340"/>
    <cellStyle name="40% - Accent3 3 2 2 20 2" xfId="36115"/>
    <cellStyle name="40% - Accent3 3 2 2 21" xfId="13996"/>
    <cellStyle name="40% - Accent3 3 2 2 21 2" xfId="36771"/>
    <cellStyle name="40% - Accent3 3 2 2 22" xfId="14652"/>
    <cellStyle name="40% - Accent3 3 2 2 22 2" xfId="37427"/>
    <cellStyle name="40% - Accent3 3 2 2 23" xfId="15308"/>
    <cellStyle name="40% - Accent3 3 2 2 23 2" xfId="38083"/>
    <cellStyle name="40% - Accent3 3 2 2 24" xfId="15964"/>
    <cellStyle name="40% - Accent3 3 2 2 24 2" xfId="38739"/>
    <cellStyle name="40% - Accent3 3 2 2 25" xfId="16620"/>
    <cellStyle name="40% - Accent3 3 2 2 25 2" xfId="39395"/>
    <cellStyle name="40% - Accent3 3 2 2 26" xfId="17276"/>
    <cellStyle name="40% - Accent3 3 2 2 26 2" xfId="40051"/>
    <cellStyle name="40% - Accent3 3 2 2 27" xfId="17932"/>
    <cellStyle name="40% - Accent3 3 2 2 27 2" xfId="40707"/>
    <cellStyle name="40% - Accent3 3 2 2 28" xfId="18588"/>
    <cellStyle name="40% - Accent3 3 2 2 28 2" xfId="41363"/>
    <cellStyle name="40% - Accent3 3 2 2 29" xfId="19244"/>
    <cellStyle name="40% - Accent3 3 2 2 29 2" xfId="42019"/>
    <cellStyle name="40% - Accent3 3 2 2 3" xfId="1204"/>
    <cellStyle name="40% - Accent3 3 2 2 3 2" xfId="2844"/>
    <cellStyle name="40% - Accent3 3 2 2 3 2 2" xfId="25619"/>
    <cellStyle name="40% - Accent3 3 2 2 3 3" xfId="23979"/>
    <cellStyle name="40% - Accent3 3 2 2 30" xfId="19900"/>
    <cellStyle name="40% - Accent3 3 2 2 30 2" xfId="42675"/>
    <cellStyle name="40% - Accent3 3 2 2 31" xfId="20556"/>
    <cellStyle name="40% - Accent3 3 2 2 31 2" xfId="43331"/>
    <cellStyle name="40% - Accent3 3 2 2 32" xfId="21212"/>
    <cellStyle name="40% - Accent3 3 2 2 32 2" xfId="43987"/>
    <cellStyle name="40% - Accent3 3 2 2 33" xfId="21868"/>
    <cellStyle name="40% - Accent3 3 2 2 33 2" xfId="44643"/>
    <cellStyle name="40% - Accent3 3 2 2 34" xfId="22524"/>
    <cellStyle name="40% - Accent3 3 2 2 34 2" xfId="45299"/>
    <cellStyle name="40% - Accent3 3 2 2 35" xfId="23323"/>
    <cellStyle name="40% - Accent3 3 2 2 4" xfId="1860"/>
    <cellStyle name="40% - Accent3 3 2 2 4 2" xfId="3500"/>
    <cellStyle name="40% - Accent3 3 2 2 4 2 2" xfId="26275"/>
    <cellStyle name="40% - Accent3 3 2 2 4 3" xfId="24635"/>
    <cellStyle name="40% - Accent3 3 2 2 5" xfId="4156"/>
    <cellStyle name="40% - Accent3 3 2 2 5 2" xfId="26931"/>
    <cellStyle name="40% - Accent3 3 2 2 6" xfId="4812"/>
    <cellStyle name="40% - Accent3 3 2 2 6 2" xfId="27587"/>
    <cellStyle name="40% - Accent3 3 2 2 7" xfId="5468"/>
    <cellStyle name="40% - Accent3 3 2 2 7 2" xfId="28243"/>
    <cellStyle name="40% - Accent3 3 2 2 8" xfId="6124"/>
    <cellStyle name="40% - Accent3 3 2 2 8 2" xfId="28899"/>
    <cellStyle name="40% - Accent3 3 2 2 9" xfId="2516"/>
    <cellStyle name="40% - Accent3 3 2 2 9 2" xfId="25291"/>
    <cellStyle name="40% - Accent3 3 2 20" xfId="12499"/>
    <cellStyle name="40% - Accent3 3 2 20 2" xfId="35274"/>
    <cellStyle name="40% - Accent3 3 2 21" xfId="13155"/>
    <cellStyle name="40% - Accent3 3 2 21 2" xfId="35930"/>
    <cellStyle name="40% - Accent3 3 2 22" xfId="13811"/>
    <cellStyle name="40% - Accent3 3 2 22 2" xfId="36586"/>
    <cellStyle name="40% - Accent3 3 2 23" xfId="14467"/>
    <cellStyle name="40% - Accent3 3 2 23 2" xfId="37242"/>
    <cellStyle name="40% - Accent3 3 2 24" xfId="15123"/>
    <cellStyle name="40% - Accent3 3 2 24 2" xfId="37898"/>
    <cellStyle name="40% - Accent3 3 2 25" xfId="15779"/>
    <cellStyle name="40% - Accent3 3 2 25 2" xfId="38554"/>
    <cellStyle name="40% - Accent3 3 2 26" xfId="16435"/>
    <cellStyle name="40% - Accent3 3 2 26 2" xfId="39210"/>
    <cellStyle name="40% - Accent3 3 2 27" xfId="17091"/>
    <cellStyle name="40% - Accent3 3 2 27 2" xfId="39866"/>
    <cellStyle name="40% - Accent3 3 2 28" xfId="17747"/>
    <cellStyle name="40% - Accent3 3 2 28 2" xfId="40522"/>
    <cellStyle name="40% - Accent3 3 2 29" xfId="18403"/>
    <cellStyle name="40% - Accent3 3 2 29 2" xfId="41178"/>
    <cellStyle name="40% - Accent3 3 2 3" xfId="691"/>
    <cellStyle name="40% - Accent3 3 2 3 10" xfId="8235"/>
    <cellStyle name="40% - Accent3 3 2 3 10 2" xfId="31010"/>
    <cellStyle name="40% - Accent3 3 2 3 11" xfId="8891"/>
    <cellStyle name="40% - Accent3 3 2 3 11 2" xfId="31666"/>
    <cellStyle name="40% - Accent3 3 2 3 12" xfId="9547"/>
    <cellStyle name="40% - Accent3 3 2 3 12 2" xfId="32322"/>
    <cellStyle name="40% - Accent3 3 2 3 13" xfId="10203"/>
    <cellStyle name="40% - Accent3 3 2 3 13 2" xfId="32978"/>
    <cellStyle name="40% - Accent3 3 2 3 14" xfId="10859"/>
    <cellStyle name="40% - Accent3 3 2 3 14 2" xfId="33634"/>
    <cellStyle name="40% - Accent3 3 2 3 15" xfId="11515"/>
    <cellStyle name="40% - Accent3 3 2 3 15 2" xfId="34290"/>
    <cellStyle name="40% - Accent3 3 2 3 16" xfId="12171"/>
    <cellStyle name="40% - Accent3 3 2 3 16 2" xfId="34946"/>
    <cellStyle name="40% - Accent3 3 2 3 17" xfId="12827"/>
    <cellStyle name="40% - Accent3 3 2 3 17 2" xfId="35602"/>
    <cellStyle name="40% - Accent3 3 2 3 18" xfId="13483"/>
    <cellStyle name="40% - Accent3 3 2 3 18 2" xfId="36258"/>
    <cellStyle name="40% - Accent3 3 2 3 19" xfId="14139"/>
    <cellStyle name="40% - Accent3 3 2 3 19 2" xfId="36914"/>
    <cellStyle name="40% - Accent3 3 2 3 2" xfId="1347"/>
    <cellStyle name="40% - Accent3 3 2 3 2 2" xfId="3643"/>
    <cellStyle name="40% - Accent3 3 2 3 2 2 2" xfId="26418"/>
    <cellStyle name="40% - Accent3 3 2 3 2 3" xfId="24122"/>
    <cellStyle name="40% - Accent3 3 2 3 20" xfId="14795"/>
    <cellStyle name="40% - Accent3 3 2 3 20 2" xfId="37570"/>
    <cellStyle name="40% - Accent3 3 2 3 21" xfId="15451"/>
    <cellStyle name="40% - Accent3 3 2 3 21 2" xfId="38226"/>
    <cellStyle name="40% - Accent3 3 2 3 22" xfId="16107"/>
    <cellStyle name="40% - Accent3 3 2 3 22 2" xfId="38882"/>
    <cellStyle name="40% - Accent3 3 2 3 23" xfId="16763"/>
    <cellStyle name="40% - Accent3 3 2 3 23 2" xfId="39538"/>
    <cellStyle name="40% - Accent3 3 2 3 24" xfId="17419"/>
    <cellStyle name="40% - Accent3 3 2 3 24 2" xfId="40194"/>
    <cellStyle name="40% - Accent3 3 2 3 25" xfId="18075"/>
    <cellStyle name="40% - Accent3 3 2 3 25 2" xfId="40850"/>
    <cellStyle name="40% - Accent3 3 2 3 26" xfId="18731"/>
    <cellStyle name="40% - Accent3 3 2 3 26 2" xfId="41506"/>
    <cellStyle name="40% - Accent3 3 2 3 27" xfId="19387"/>
    <cellStyle name="40% - Accent3 3 2 3 27 2" xfId="42162"/>
    <cellStyle name="40% - Accent3 3 2 3 28" xfId="20043"/>
    <cellStyle name="40% - Accent3 3 2 3 28 2" xfId="42818"/>
    <cellStyle name="40% - Accent3 3 2 3 29" xfId="20699"/>
    <cellStyle name="40% - Accent3 3 2 3 29 2" xfId="43474"/>
    <cellStyle name="40% - Accent3 3 2 3 3" xfId="2003"/>
    <cellStyle name="40% - Accent3 3 2 3 3 2" xfId="4299"/>
    <cellStyle name="40% - Accent3 3 2 3 3 2 2" xfId="27074"/>
    <cellStyle name="40% - Accent3 3 2 3 3 3" xfId="24778"/>
    <cellStyle name="40% - Accent3 3 2 3 30" xfId="21355"/>
    <cellStyle name="40% - Accent3 3 2 3 30 2" xfId="44130"/>
    <cellStyle name="40% - Accent3 3 2 3 31" xfId="22011"/>
    <cellStyle name="40% - Accent3 3 2 3 31 2" xfId="44786"/>
    <cellStyle name="40% - Accent3 3 2 3 32" xfId="22667"/>
    <cellStyle name="40% - Accent3 3 2 3 32 2" xfId="45442"/>
    <cellStyle name="40% - Accent3 3 2 3 33" xfId="23466"/>
    <cellStyle name="40% - Accent3 3 2 3 4" xfId="4955"/>
    <cellStyle name="40% - Accent3 3 2 3 4 2" xfId="27730"/>
    <cellStyle name="40% - Accent3 3 2 3 5" xfId="5611"/>
    <cellStyle name="40% - Accent3 3 2 3 5 2" xfId="28386"/>
    <cellStyle name="40% - Accent3 3 2 3 6" xfId="6267"/>
    <cellStyle name="40% - Accent3 3 2 3 6 2" xfId="29042"/>
    <cellStyle name="40% - Accent3 3 2 3 7" xfId="2987"/>
    <cellStyle name="40% - Accent3 3 2 3 7 2" xfId="25762"/>
    <cellStyle name="40% - Accent3 3 2 3 8" xfId="6923"/>
    <cellStyle name="40% - Accent3 3 2 3 8 2" xfId="29698"/>
    <cellStyle name="40% - Accent3 3 2 3 9" xfId="7579"/>
    <cellStyle name="40% - Accent3 3 2 3 9 2" xfId="30354"/>
    <cellStyle name="40% - Accent3 3 2 30" xfId="19059"/>
    <cellStyle name="40% - Accent3 3 2 30 2" xfId="41834"/>
    <cellStyle name="40% - Accent3 3 2 31" xfId="19715"/>
    <cellStyle name="40% - Accent3 3 2 31 2" xfId="42490"/>
    <cellStyle name="40% - Accent3 3 2 32" xfId="20371"/>
    <cellStyle name="40% - Accent3 3 2 32 2" xfId="43146"/>
    <cellStyle name="40% - Accent3 3 2 33" xfId="21027"/>
    <cellStyle name="40% - Accent3 3 2 33 2" xfId="43802"/>
    <cellStyle name="40% - Accent3 3 2 34" xfId="21683"/>
    <cellStyle name="40% - Accent3 3 2 34 2" xfId="44458"/>
    <cellStyle name="40% - Accent3 3 2 35" xfId="22339"/>
    <cellStyle name="40% - Accent3 3 2 35 2" xfId="45114"/>
    <cellStyle name="40% - Accent3 3 2 36" xfId="22995"/>
    <cellStyle name="40% - Accent3 3 2 4" xfId="364"/>
    <cellStyle name="40% - Accent3 3 2 4 2" xfId="2659"/>
    <cellStyle name="40% - Accent3 3 2 4 2 2" xfId="25434"/>
    <cellStyle name="40% - Accent3 3 2 4 3" xfId="23138"/>
    <cellStyle name="40% - Accent3 3 2 5" xfId="1019"/>
    <cellStyle name="40% - Accent3 3 2 5 2" xfId="3315"/>
    <cellStyle name="40% - Accent3 3 2 5 2 2" xfId="26090"/>
    <cellStyle name="40% - Accent3 3 2 5 3" xfId="23794"/>
    <cellStyle name="40% - Accent3 3 2 6" xfId="1675"/>
    <cellStyle name="40% - Accent3 3 2 6 2" xfId="3971"/>
    <cellStyle name="40% - Accent3 3 2 6 2 2" xfId="26746"/>
    <cellStyle name="40% - Accent3 3 2 6 3" xfId="24450"/>
    <cellStyle name="40% - Accent3 3 2 7" xfId="4627"/>
    <cellStyle name="40% - Accent3 3 2 7 2" xfId="27402"/>
    <cellStyle name="40% - Accent3 3 2 8" xfId="5283"/>
    <cellStyle name="40% - Accent3 3 2 8 2" xfId="28058"/>
    <cellStyle name="40% - Accent3 3 2 9" xfId="5939"/>
    <cellStyle name="40% - Accent3 3 2 9 2" xfId="28714"/>
    <cellStyle name="40% - Accent3 3 20" xfId="11788"/>
    <cellStyle name="40% - Accent3 3 20 2" xfId="34563"/>
    <cellStyle name="40% - Accent3 3 21" xfId="12444"/>
    <cellStyle name="40% - Accent3 3 21 2" xfId="35219"/>
    <cellStyle name="40% - Accent3 3 22" xfId="13100"/>
    <cellStyle name="40% - Accent3 3 22 2" xfId="35875"/>
    <cellStyle name="40% - Accent3 3 23" xfId="13756"/>
    <cellStyle name="40% - Accent3 3 23 2" xfId="36531"/>
    <cellStyle name="40% - Accent3 3 24" xfId="14412"/>
    <cellStyle name="40% - Accent3 3 24 2" xfId="37187"/>
    <cellStyle name="40% - Accent3 3 25" xfId="15068"/>
    <cellStyle name="40% - Accent3 3 25 2" xfId="37843"/>
    <cellStyle name="40% - Accent3 3 26" xfId="15724"/>
    <cellStyle name="40% - Accent3 3 26 2" xfId="38499"/>
    <cellStyle name="40% - Accent3 3 27" xfId="16380"/>
    <cellStyle name="40% - Accent3 3 27 2" xfId="39155"/>
    <cellStyle name="40% - Accent3 3 28" xfId="17036"/>
    <cellStyle name="40% - Accent3 3 28 2" xfId="39811"/>
    <cellStyle name="40% - Accent3 3 29" xfId="17692"/>
    <cellStyle name="40% - Accent3 3 29 2" xfId="40467"/>
    <cellStyle name="40% - Accent3 3 3" xfId="493"/>
    <cellStyle name="40% - Accent3 3 3 10" xfId="6725"/>
    <cellStyle name="40% - Accent3 3 3 10 2" xfId="29500"/>
    <cellStyle name="40% - Accent3 3 3 11" xfId="7381"/>
    <cellStyle name="40% - Accent3 3 3 11 2" xfId="30156"/>
    <cellStyle name="40% - Accent3 3 3 12" xfId="8037"/>
    <cellStyle name="40% - Accent3 3 3 12 2" xfId="30812"/>
    <cellStyle name="40% - Accent3 3 3 13" xfId="8693"/>
    <cellStyle name="40% - Accent3 3 3 13 2" xfId="31468"/>
    <cellStyle name="40% - Accent3 3 3 14" xfId="9349"/>
    <cellStyle name="40% - Accent3 3 3 14 2" xfId="32124"/>
    <cellStyle name="40% - Accent3 3 3 15" xfId="10005"/>
    <cellStyle name="40% - Accent3 3 3 15 2" xfId="32780"/>
    <cellStyle name="40% - Accent3 3 3 16" xfId="10661"/>
    <cellStyle name="40% - Accent3 3 3 16 2" xfId="33436"/>
    <cellStyle name="40% - Accent3 3 3 17" xfId="11317"/>
    <cellStyle name="40% - Accent3 3 3 17 2" xfId="34092"/>
    <cellStyle name="40% - Accent3 3 3 18" xfId="11973"/>
    <cellStyle name="40% - Accent3 3 3 18 2" xfId="34748"/>
    <cellStyle name="40% - Accent3 3 3 19" xfId="12629"/>
    <cellStyle name="40% - Accent3 3 3 19 2" xfId="35404"/>
    <cellStyle name="40% - Accent3 3 3 2" xfId="821"/>
    <cellStyle name="40% - Accent3 3 3 2 10" xfId="8365"/>
    <cellStyle name="40% - Accent3 3 3 2 10 2" xfId="31140"/>
    <cellStyle name="40% - Accent3 3 3 2 11" xfId="9021"/>
    <cellStyle name="40% - Accent3 3 3 2 11 2" xfId="31796"/>
    <cellStyle name="40% - Accent3 3 3 2 12" xfId="9677"/>
    <cellStyle name="40% - Accent3 3 3 2 12 2" xfId="32452"/>
    <cellStyle name="40% - Accent3 3 3 2 13" xfId="10333"/>
    <cellStyle name="40% - Accent3 3 3 2 13 2" xfId="33108"/>
    <cellStyle name="40% - Accent3 3 3 2 14" xfId="10989"/>
    <cellStyle name="40% - Accent3 3 3 2 14 2" xfId="33764"/>
    <cellStyle name="40% - Accent3 3 3 2 15" xfId="11645"/>
    <cellStyle name="40% - Accent3 3 3 2 15 2" xfId="34420"/>
    <cellStyle name="40% - Accent3 3 3 2 16" xfId="12301"/>
    <cellStyle name="40% - Accent3 3 3 2 16 2" xfId="35076"/>
    <cellStyle name="40% - Accent3 3 3 2 17" xfId="12957"/>
    <cellStyle name="40% - Accent3 3 3 2 17 2" xfId="35732"/>
    <cellStyle name="40% - Accent3 3 3 2 18" xfId="13613"/>
    <cellStyle name="40% - Accent3 3 3 2 18 2" xfId="36388"/>
    <cellStyle name="40% - Accent3 3 3 2 19" xfId="14269"/>
    <cellStyle name="40% - Accent3 3 3 2 19 2" xfId="37044"/>
    <cellStyle name="40% - Accent3 3 3 2 2" xfId="1477"/>
    <cellStyle name="40% - Accent3 3 3 2 2 2" xfId="3773"/>
    <cellStyle name="40% - Accent3 3 3 2 2 2 2" xfId="26548"/>
    <cellStyle name="40% - Accent3 3 3 2 2 3" xfId="24252"/>
    <cellStyle name="40% - Accent3 3 3 2 20" xfId="14925"/>
    <cellStyle name="40% - Accent3 3 3 2 20 2" xfId="37700"/>
    <cellStyle name="40% - Accent3 3 3 2 21" xfId="15581"/>
    <cellStyle name="40% - Accent3 3 3 2 21 2" xfId="38356"/>
    <cellStyle name="40% - Accent3 3 3 2 22" xfId="16237"/>
    <cellStyle name="40% - Accent3 3 3 2 22 2" xfId="39012"/>
    <cellStyle name="40% - Accent3 3 3 2 23" xfId="16893"/>
    <cellStyle name="40% - Accent3 3 3 2 23 2" xfId="39668"/>
    <cellStyle name="40% - Accent3 3 3 2 24" xfId="17549"/>
    <cellStyle name="40% - Accent3 3 3 2 24 2" xfId="40324"/>
    <cellStyle name="40% - Accent3 3 3 2 25" xfId="18205"/>
    <cellStyle name="40% - Accent3 3 3 2 25 2" xfId="40980"/>
    <cellStyle name="40% - Accent3 3 3 2 26" xfId="18861"/>
    <cellStyle name="40% - Accent3 3 3 2 26 2" xfId="41636"/>
    <cellStyle name="40% - Accent3 3 3 2 27" xfId="19517"/>
    <cellStyle name="40% - Accent3 3 3 2 27 2" xfId="42292"/>
    <cellStyle name="40% - Accent3 3 3 2 28" xfId="20173"/>
    <cellStyle name="40% - Accent3 3 3 2 28 2" xfId="42948"/>
    <cellStyle name="40% - Accent3 3 3 2 29" xfId="20829"/>
    <cellStyle name="40% - Accent3 3 3 2 29 2" xfId="43604"/>
    <cellStyle name="40% - Accent3 3 3 2 3" xfId="2133"/>
    <cellStyle name="40% - Accent3 3 3 2 3 2" xfId="4429"/>
    <cellStyle name="40% - Accent3 3 3 2 3 2 2" xfId="27204"/>
    <cellStyle name="40% - Accent3 3 3 2 3 3" xfId="24908"/>
    <cellStyle name="40% - Accent3 3 3 2 30" xfId="21485"/>
    <cellStyle name="40% - Accent3 3 3 2 30 2" xfId="44260"/>
    <cellStyle name="40% - Accent3 3 3 2 31" xfId="22141"/>
    <cellStyle name="40% - Accent3 3 3 2 31 2" xfId="44916"/>
    <cellStyle name="40% - Accent3 3 3 2 32" xfId="22797"/>
    <cellStyle name="40% - Accent3 3 3 2 32 2" xfId="45572"/>
    <cellStyle name="40% - Accent3 3 3 2 33" xfId="23596"/>
    <cellStyle name="40% - Accent3 3 3 2 4" xfId="5085"/>
    <cellStyle name="40% - Accent3 3 3 2 4 2" xfId="27860"/>
    <cellStyle name="40% - Accent3 3 3 2 5" xfId="5741"/>
    <cellStyle name="40% - Accent3 3 3 2 5 2" xfId="28516"/>
    <cellStyle name="40% - Accent3 3 3 2 6" xfId="6397"/>
    <cellStyle name="40% - Accent3 3 3 2 6 2" xfId="29172"/>
    <cellStyle name="40% - Accent3 3 3 2 7" xfId="3117"/>
    <cellStyle name="40% - Accent3 3 3 2 7 2" xfId="25892"/>
    <cellStyle name="40% - Accent3 3 3 2 8" xfId="7053"/>
    <cellStyle name="40% - Accent3 3 3 2 8 2" xfId="29828"/>
    <cellStyle name="40% - Accent3 3 3 2 9" xfId="7709"/>
    <cellStyle name="40% - Accent3 3 3 2 9 2" xfId="30484"/>
    <cellStyle name="40% - Accent3 3 3 20" xfId="13285"/>
    <cellStyle name="40% - Accent3 3 3 20 2" xfId="36060"/>
    <cellStyle name="40% - Accent3 3 3 21" xfId="13941"/>
    <cellStyle name="40% - Accent3 3 3 21 2" xfId="36716"/>
    <cellStyle name="40% - Accent3 3 3 22" xfId="14597"/>
    <cellStyle name="40% - Accent3 3 3 22 2" xfId="37372"/>
    <cellStyle name="40% - Accent3 3 3 23" xfId="15253"/>
    <cellStyle name="40% - Accent3 3 3 23 2" xfId="38028"/>
    <cellStyle name="40% - Accent3 3 3 24" xfId="15909"/>
    <cellStyle name="40% - Accent3 3 3 24 2" xfId="38684"/>
    <cellStyle name="40% - Accent3 3 3 25" xfId="16565"/>
    <cellStyle name="40% - Accent3 3 3 25 2" xfId="39340"/>
    <cellStyle name="40% - Accent3 3 3 26" xfId="17221"/>
    <cellStyle name="40% - Accent3 3 3 26 2" xfId="39996"/>
    <cellStyle name="40% - Accent3 3 3 27" xfId="17877"/>
    <cellStyle name="40% - Accent3 3 3 27 2" xfId="40652"/>
    <cellStyle name="40% - Accent3 3 3 28" xfId="18533"/>
    <cellStyle name="40% - Accent3 3 3 28 2" xfId="41308"/>
    <cellStyle name="40% - Accent3 3 3 29" xfId="19189"/>
    <cellStyle name="40% - Accent3 3 3 29 2" xfId="41964"/>
    <cellStyle name="40% - Accent3 3 3 3" xfId="1149"/>
    <cellStyle name="40% - Accent3 3 3 3 2" xfId="2789"/>
    <cellStyle name="40% - Accent3 3 3 3 2 2" xfId="25564"/>
    <cellStyle name="40% - Accent3 3 3 3 3" xfId="23924"/>
    <cellStyle name="40% - Accent3 3 3 30" xfId="19845"/>
    <cellStyle name="40% - Accent3 3 3 30 2" xfId="42620"/>
    <cellStyle name="40% - Accent3 3 3 31" xfId="20501"/>
    <cellStyle name="40% - Accent3 3 3 31 2" xfId="43276"/>
    <cellStyle name="40% - Accent3 3 3 32" xfId="21157"/>
    <cellStyle name="40% - Accent3 3 3 32 2" xfId="43932"/>
    <cellStyle name="40% - Accent3 3 3 33" xfId="21813"/>
    <cellStyle name="40% - Accent3 3 3 33 2" xfId="44588"/>
    <cellStyle name="40% - Accent3 3 3 34" xfId="22469"/>
    <cellStyle name="40% - Accent3 3 3 34 2" xfId="45244"/>
    <cellStyle name="40% - Accent3 3 3 35" xfId="23268"/>
    <cellStyle name="40% - Accent3 3 3 4" xfId="1805"/>
    <cellStyle name="40% - Accent3 3 3 4 2" xfId="3445"/>
    <cellStyle name="40% - Accent3 3 3 4 2 2" xfId="26220"/>
    <cellStyle name="40% - Accent3 3 3 4 3" xfId="24580"/>
    <cellStyle name="40% - Accent3 3 3 5" xfId="4101"/>
    <cellStyle name="40% - Accent3 3 3 5 2" xfId="26876"/>
    <cellStyle name="40% - Accent3 3 3 6" xfId="4757"/>
    <cellStyle name="40% - Accent3 3 3 6 2" xfId="27532"/>
    <cellStyle name="40% - Accent3 3 3 7" xfId="5413"/>
    <cellStyle name="40% - Accent3 3 3 7 2" xfId="28188"/>
    <cellStyle name="40% - Accent3 3 3 8" xfId="6069"/>
    <cellStyle name="40% - Accent3 3 3 8 2" xfId="28844"/>
    <cellStyle name="40% - Accent3 3 3 9" xfId="2461"/>
    <cellStyle name="40% - Accent3 3 3 9 2" xfId="25236"/>
    <cellStyle name="40% - Accent3 3 30" xfId="18348"/>
    <cellStyle name="40% - Accent3 3 30 2" xfId="41123"/>
    <cellStyle name="40% - Accent3 3 31" xfId="19004"/>
    <cellStyle name="40% - Accent3 3 31 2" xfId="41779"/>
    <cellStyle name="40% - Accent3 3 32" xfId="19660"/>
    <cellStyle name="40% - Accent3 3 32 2" xfId="42435"/>
    <cellStyle name="40% - Accent3 3 33" xfId="20316"/>
    <cellStyle name="40% - Accent3 3 33 2" xfId="43091"/>
    <cellStyle name="40% - Accent3 3 34" xfId="20972"/>
    <cellStyle name="40% - Accent3 3 34 2" xfId="43747"/>
    <cellStyle name="40% - Accent3 3 35" xfId="21628"/>
    <cellStyle name="40% - Accent3 3 35 2" xfId="44403"/>
    <cellStyle name="40% - Accent3 3 36" xfId="22284"/>
    <cellStyle name="40% - Accent3 3 36 2" xfId="45059"/>
    <cellStyle name="40% - Accent3 3 37" xfId="223"/>
    <cellStyle name="40% - Accent3 3 38" xfId="22940"/>
    <cellStyle name="40% - Accent3 3 4" xfId="636"/>
    <cellStyle name="40% - Accent3 3 4 10" xfId="8180"/>
    <cellStyle name="40% - Accent3 3 4 10 2" xfId="30955"/>
    <cellStyle name="40% - Accent3 3 4 11" xfId="8836"/>
    <cellStyle name="40% - Accent3 3 4 11 2" xfId="31611"/>
    <cellStyle name="40% - Accent3 3 4 12" xfId="9492"/>
    <cellStyle name="40% - Accent3 3 4 12 2" xfId="32267"/>
    <cellStyle name="40% - Accent3 3 4 13" xfId="10148"/>
    <cellStyle name="40% - Accent3 3 4 13 2" xfId="32923"/>
    <cellStyle name="40% - Accent3 3 4 14" xfId="10804"/>
    <cellStyle name="40% - Accent3 3 4 14 2" xfId="33579"/>
    <cellStyle name="40% - Accent3 3 4 15" xfId="11460"/>
    <cellStyle name="40% - Accent3 3 4 15 2" xfId="34235"/>
    <cellStyle name="40% - Accent3 3 4 16" xfId="12116"/>
    <cellStyle name="40% - Accent3 3 4 16 2" xfId="34891"/>
    <cellStyle name="40% - Accent3 3 4 17" xfId="12772"/>
    <cellStyle name="40% - Accent3 3 4 17 2" xfId="35547"/>
    <cellStyle name="40% - Accent3 3 4 18" xfId="13428"/>
    <cellStyle name="40% - Accent3 3 4 18 2" xfId="36203"/>
    <cellStyle name="40% - Accent3 3 4 19" xfId="14084"/>
    <cellStyle name="40% - Accent3 3 4 19 2" xfId="36859"/>
    <cellStyle name="40% - Accent3 3 4 2" xfId="1292"/>
    <cellStyle name="40% - Accent3 3 4 2 2" xfId="3588"/>
    <cellStyle name="40% - Accent3 3 4 2 2 2" xfId="26363"/>
    <cellStyle name="40% - Accent3 3 4 2 3" xfId="24067"/>
    <cellStyle name="40% - Accent3 3 4 20" xfId="14740"/>
    <cellStyle name="40% - Accent3 3 4 20 2" xfId="37515"/>
    <cellStyle name="40% - Accent3 3 4 21" xfId="15396"/>
    <cellStyle name="40% - Accent3 3 4 21 2" xfId="38171"/>
    <cellStyle name="40% - Accent3 3 4 22" xfId="16052"/>
    <cellStyle name="40% - Accent3 3 4 22 2" xfId="38827"/>
    <cellStyle name="40% - Accent3 3 4 23" xfId="16708"/>
    <cellStyle name="40% - Accent3 3 4 23 2" xfId="39483"/>
    <cellStyle name="40% - Accent3 3 4 24" xfId="17364"/>
    <cellStyle name="40% - Accent3 3 4 24 2" xfId="40139"/>
    <cellStyle name="40% - Accent3 3 4 25" xfId="18020"/>
    <cellStyle name="40% - Accent3 3 4 25 2" xfId="40795"/>
    <cellStyle name="40% - Accent3 3 4 26" xfId="18676"/>
    <cellStyle name="40% - Accent3 3 4 26 2" xfId="41451"/>
    <cellStyle name="40% - Accent3 3 4 27" xfId="19332"/>
    <cellStyle name="40% - Accent3 3 4 27 2" xfId="42107"/>
    <cellStyle name="40% - Accent3 3 4 28" xfId="19988"/>
    <cellStyle name="40% - Accent3 3 4 28 2" xfId="42763"/>
    <cellStyle name="40% - Accent3 3 4 29" xfId="20644"/>
    <cellStyle name="40% - Accent3 3 4 29 2" xfId="43419"/>
    <cellStyle name="40% - Accent3 3 4 3" xfId="1948"/>
    <cellStyle name="40% - Accent3 3 4 3 2" xfId="4244"/>
    <cellStyle name="40% - Accent3 3 4 3 2 2" xfId="27019"/>
    <cellStyle name="40% - Accent3 3 4 3 3" xfId="24723"/>
    <cellStyle name="40% - Accent3 3 4 30" xfId="21300"/>
    <cellStyle name="40% - Accent3 3 4 30 2" xfId="44075"/>
    <cellStyle name="40% - Accent3 3 4 31" xfId="21956"/>
    <cellStyle name="40% - Accent3 3 4 31 2" xfId="44731"/>
    <cellStyle name="40% - Accent3 3 4 32" xfId="22612"/>
    <cellStyle name="40% - Accent3 3 4 32 2" xfId="45387"/>
    <cellStyle name="40% - Accent3 3 4 33" xfId="23411"/>
    <cellStyle name="40% - Accent3 3 4 4" xfId="4900"/>
    <cellStyle name="40% - Accent3 3 4 4 2" xfId="27675"/>
    <cellStyle name="40% - Accent3 3 4 5" xfId="5556"/>
    <cellStyle name="40% - Accent3 3 4 5 2" xfId="28331"/>
    <cellStyle name="40% - Accent3 3 4 6" xfId="6212"/>
    <cellStyle name="40% - Accent3 3 4 6 2" xfId="28987"/>
    <cellStyle name="40% - Accent3 3 4 7" xfId="2932"/>
    <cellStyle name="40% - Accent3 3 4 7 2" xfId="25707"/>
    <cellStyle name="40% - Accent3 3 4 8" xfId="6868"/>
    <cellStyle name="40% - Accent3 3 4 8 2" xfId="29643"/>
    <cellStyle name="40% - Accent3 3 4 9" xfId="7524"/>
    <cellStyle name="40% - Accent3 3 4 9 2" xfId="30299"/>
    <cellStyle name="40% - Accent3 3 5" xfId="309"/>
    <cellStyle name="40% - Accent3 3 5 2" xfId="2604"/>
    <cellStyle name="40% - Accent3 3 5 2 2" xfId="25379"/>
    <cellStyle name="40% - Accent3 3 5 3" xfId="23083"/>
    <cellStyle name="40% - Accent3 3 6" xfId="964"/>
    <cellStyle name="40% - Accent3 3 6 2" xfId="3260"/>
    <cellStyle name="40% - Accent3 3 6 2 2" xfId="26035"/>
    <cellStyle name="40% - Accent3 3 6 3" xfId="23739"/>
    <cellStyle name="40% - Accent3 3 7" xfId="1620"/>
    <cellStyle name="40% - Accent3 3 7 2" xfId="3916"/>
    <cellStyle name="40% - Accent3 3 7 2 2" xfId="26691"/>
    <cellStyle name="40% - Accent3 3 7 3" xfId="24395"/>
    <cellStyle name="40% - Accent3 3 8" xfId="4572"/>
    <cellStyle name="40% - Accent3 3 8 2" xfId="27347"/>
    <cellStyle name="40% - Accent3 3 9" xfId="5228"/>
    <cellStyle name="40% - Accent3 3 9 2" xfId="28003"/>
    <cellStyle name="40% - Accent3 30" xfId="13725"/>
    <cellStyle name="40% - Accent3 30 2" xfId="36500"/>
    <cellStyle name="40% - Accent3 31" xfId="14381"/>
    <cellStyle name="40% - Accent3 31 2" xfId="37156"/>
    <cellStyle name="40% - Accent3 32" xfId="15037"/>
    <cellStyle name="40% - Accent3 32 2" xfId="37812"/>
    <cellStyle name="40% - Accent3 33" xfId="15693"/>
    <cellStyle name="40% - Accent3 33 2" xfId="38468"/>
    <cellStyle name="40% - Accent3 34" xfId="16349"/>
    <cellStyle name="40% - Accent3 34 2" xfId="39124"/>
    <cellStyle name="40% - Accent3 35" xfId="17005"/>
    <cellStyle name="40% - Accent3 35 2" xfId="39780"/>
    <cellStyle name="40% - Accent3 36" xfId="17661"/>
    <cellStyle name="40% - Accent3 36 2" xfId="40436"/>
    <cellStyle name="40% - Accent3 37" xfId="18317"/>
    <cellStyle name="40% - Accent3 37 2" xfId="41092"/>
    <cellStyle name="40% - Accent3 38" xfId="18973"/>
    <cellStyle name="40% - Accent3 38 2" xfId="41748"/>
    <cellStyle name="40% - Accent3 39" xfId="19629"/>
    <cellStyle name="40% - Accent3 39 2" xfId="42404"/>
    <cellStyle name="40% - Accent3 4" xfId="92"/>
    <cellStyle name="40% - Accent3 4 10" xfId="5898"/>
    <cellStyle name="40% - Accent3 4 10 2" xfId="28673"/>
    <cellStyle name="40% - Accent3 4 11" xfId="2290"/>
    <cellStyle name="40% - Accent3 4 11 2" xfId="25065"/>
    <cellStyle name="40% - Accent3 4 12" xfId="6554"/>
    <cellStyle name="40% - Accent3 4 12 2" xfId="29329"/>
    <cellStyle name="40% - Accent3 4 13" xfId="7210"/>
    <cellStyle name="40% - Accent3 4 13 2" xfId="29985"/>
    <cellStyle name="40% - Accent3 4 14" xfId="7866"/>
    <cellStyle name="40% - Accent3 4 14 2" xfId="30641"/>
    <cellStyle name="40% - Accent3 4 15" xfId="8522"/>
    <cellStyle name="40% - Accent3 4 15 2" xfId="31297"/>
    <cellStyle name="40% - Accent3 4 16" xfId="9178"/>
    <cellStyle name="40% - Accent3 4 16 2" xfId="31953"/>
    <cellStyle name="40% - Accent3 4 17" xfId="9834"/>
    <cellStyle name="40% - Accent3 4 17 2" xfId="32609"/>
    <cellStyle name="40% - Accent3 4 18" xfId="10490"/>
    <cellStyle name="40% - Accent3 4 18 2" xfId="33265"/>
    <cellStyle name="40% - Accent3 4 19" xfId="11146"/>
    <cellStyle name="40% - Accent3 4 19 2" xfId="33921"/>
    <cellStyle name="40% - Accent3 4 2" xfId="163"/>
    <cellStyle name="40% - Accent3 4 2 10" xfId="2361"/>
    <cellStyle name="40% - Accent3 4 2 10 2" xfId="25136"/>
    <cellStyle name="40% - Accent3 4 2 11" xfId="6625"/>
    <cellStyle name="40% - Accent3 4 2 11 2" xfId="29400"/>
    <cellStyle name="40% - Accent3 4 2 12" xfId="7281"/>
    <cellStyle name="40% - Accent3 4 2 12 2" xfId="30056"/>
    <cellStyle name="40% - Accent3 4 2 13" xfId="7937"/>
    <cellStyle name="40% - Accent3 4 2 13 2" xfId="30712"/>
    <cellStyle name="40% - Accent3 4 2 14" xfId="8593"/>
    <cellStyle name="40% - Accent3 4 2 14 2" xfId="31368"/>
    <cellStyle name="40% - Accent3 4 2 15" xfId="9249"/>
    <cellStyle name="40% - Accent3 4 2 15 2" xfId="32024"/>
    <cellStyle name="40% - Accent3 4 2 16" xfId="9905"/>
    <cellStyle name="40% - Accent3 4 2 16 2" xfId="32680"/>
    <cellStyle name="40% - Accent3 4 2 17" xfId="10561"/>
    <cellStyle name="40% - Accent3 4 2 17 2" xfId="33336"/>
    <cellStyle name="40% - Accent3 4 2 18" xfId="11217"/>
    <cellStyle name="40% - Accent3 4 2 18 2" xfId="33992"/>
    <cellStyle name="40% - Accent3 4 2 19" xfId="11873"/>
    <cellStyle name="40% - Accent3 4 2 19 2" xfId="34648"/>
    <cellStyle name="40% - Accent3 4 2 2" xfId="577"/>
    <cellStyle name="40% - Accent3 4 2 2 10" xfId="6810"/>
    <cellStyle name="40% - Accent3 4 2 2 10 2" xfId="29585"/>
    <cellStyle name="40% - Accent3 4 2 2 11" xfId="7466"/>
    <cellStyle name="40% - Accent3 4 2 2 11 2" xfId="30241"/>
    <cellStyle name="40% - Accent3 4 2 2 12" xfId="8122"/>
    <cellStyle name="40% - Accent3 4 2 2 12 2" xfId="30897"/>
    <cellStyle name="40% - Accent3 4 2 2 13" xfId="8778"/>
    <cellStyle name="40% - Accent3 4 2 2 13 2" xfId="31553"/>
    <cellStyle name="40% - Accent3 4 2 2 14" xfId="9434"/>
    <cellStyle name="40% - Accent3 4 2 2 14 2" xfId="32209"/>
    <cellStyle name="40% - Accent3 4 2 2 15" xfId="10090"/>
    <cellStyle name="40% - Accent3 4 2 2 15 2" xfId="32865"/>
    <cellStyle name="40% - Accent3 4 2 2 16" xfId="10746"/>
    <cellStyle name="40% - Accent3 4 2 2 16 2" xfId="33521"/>
    <cellStyle name="40% - Accent3 4 2 2 17" xfId="11402"/>
    <cellStyle name="40% - Accent3 4 2 2 17 2" xfId="34177"/>
    <cellStyle name="40% - Accent3 4 2 2 18" xfId="12058"/>
    <cellStyle name="40% - Accent3 4 2 2 18 2" xfId="34833"/>
    <cellStyle name="40% - Accent3 4 2 2 19" xfId="12714"/>
    <cellStyle name="40% - Accent3 4 2 2 19 2" xfId="35489"/>
    <cellStyle name="40% - Accent3 4 2 2 2" xfId="906"/>
    <cellStyle name="40% - Accent3 4 2 2 2 10" xfId="8450"/>
    <cellStyle name="40% - Accent3 4 2 2 2 10 2" xfId="31225"/>
    <cellStyle name="40% - Accent3 4 2 2 2 11" xfId="9106"/>
    <cellStyle name="40% - Accent3 4 2 2 2 11 2" xfId="31881"/>
    <cellStyle name="40% - Accent3 4 2 2 2 12" xfId="9762"/>
    <cellStyle name="40% - Accent3 4 2 2 2 12 2" xfId="32537"/>
    <cellStyle name="40% - Accent3 4 2 2 2 13" xfId="10418"/>
    <cellStyle name="40% - Accent3 4 2 2 2 13 2" xfId="33193"/>
    <cellStyle name="40% - Accent3 4 2 2 2 14" xfId="11074"/>
    <cellStyle name="40% - Accent3 4 2 2 2 14 2" xfId="33849"/>
    <cellStyle name="40% - Accent3 4 2 2 2 15" xfId="11730"/>
    <cellStyle name="40% - Accent3 4 2 2 2 15 2" xfId="34505"/>
    <cellStyle name="40% - Accent3 4 2 2 2 16" xfId="12386"/>
    <cellStyle name="40% - Accent3 4 2 2 2 16 2" xfId="35161"/>
    <cellStyle name="40% - Accent3 4 2 2 2 17" xfId="13042"/>
    <cellStyle name="40% - Accent3 4 2 2 2 17 2" xfId="35817"/>
    <cellStyle name="40% - Accent3 4 2 2 2 18" xfId="13698"/>
    <cellStyle name="40% - Accent3 4 2 2 2 18 2" xfId="36473"/>
    <cellStyle name="40% - Accent3 4 2 2 2 19" xfId="14354"/>
    <cellStyle name="40% - Accent3 4 2 2 2 19 2" xfId="37129"/>
    <cellStyle name="40% - Accent3 4 2 2 2 2" xfId="1562"/>
    <cellStyle name="40% - Accent3 4 2 2 2 2 2" xfId="3858"/>
    <cellStyle name="40% - Accent3 4 2 2 2 2 2 2" xfId="26633"/>
    <cellStyle name="40% - Accent3 4 2 2 2 2 3" xfId="24337"/>
    <cellStyle name="40% - Accent3 4 2 2 2 20" xfId="15010"/>
    <cellStyle name="40% - Accent3 4 2 2 2 20 2" xfId="37785"/>
    <cellStyle name="40% - Accent3 4 2 2 2 21" xfId="15666"/>
    <cellStyle name="40% - Accent3 4 2 2 2 21 2" xfId="38441"/>
    <cellStyle name="40% - Accent3 4 2 2 2 22" xfId="16322"/>
    <cellStyle name="40% - Accent3 4 2 2 2 22 2" xfId="39097"/>
    <cellStyle name="40% - Accent3 4 2 2 2 23" xfId="16978"/>
    <cellStyle name="40% - Accent3 4 2 2 2 23 2" xfId="39753"/>
    <cellStyle name="40% - Accent3 4 2 2 2 24" xfId="17634"/>
    <cellStyle name="40% - Accent3 4 2 2 2 24 2" xfId="40409"/>
    <cellStyle name="40% - Accent3 4 2 2 2 25" xfId="18290"/>
    <cellStyle name="40% - Accent3 4 2 2 2 25 2" xfId="41065"/>
    <cellStyle name="40% - Accent3 4 2 2 2 26" xfId="18946"/>
    <cellStyle name="40% - Accent3 4 2 2 2 26 2" xfId="41721"/>
    <cellStyle name="40% - Accent3 4 2 2 2 27" xfId="19602"/>
    <cellStyle name="40% - Accent3 4 2 2 2 27 2" xfId="42377"/>
    <cellStyle name="40% - Accent3 4 2 2 2 28" xfId="20258"/>
    <cellStyle name="40% - Accent3 4 2 2 2 28 2" xfId="43033"/>
    <cellStyle name="40% - Accent3 4 2 2 2 29" xfId="20914"/>
    <cellStyle name="40% - Accent3 4 2 2 2 29 2" xfId="43689"/>
    <cellStyle name="40% - Accent3 4 2 2 2 3" xfId="2218"/>
    <cellStyle name="40% - Accent3 4 2 2 2 3 2" xfId="4514"/>
    <cellStyle name="40% - Accent3 4 2 2 2 3 2 2" xfId="27289"/>
    <cellStyle name="40% - Accent3 4 2 2 2 3 3" xfId="24993"/>
    <cellStyle name="40% - Accent3 4 2 2 2 30" xfId="21570"/>
    <cellStyle name="40% - Accent3 4 2 2 2 30 2" xfId="44345"/>
    <cellStyle name="40% - Accent3 4 2 2 2 31" xfId="22226"/>
    <cellStyle name="40% - Accent3 4 2 2 2 31 2" xfId="45001"/>
    <cellStyle name="40% - Accent3 4 2 2 2 32" xfId="22882"/>
    <cellStyle name="40% - Accent3 4 2 2 2 32 2" xfId="45657"/>
    <cellStyle name="40% - Accent3 4 2 2 2 33" xfId="23681"/>
    <cellStyle name="40% - Accent3 4 2 2 2 4" xfId="5170"/>
    <cellStyle name="40% - Accent3 4 2 2 2 4 2" xfId="27945"/>
    <cellStyle name="40% - Accent3 4 2 2 2 5" xfId="5826"/>
    <cellStyle name="40% - Accent3 4 2 2 2 5 2" xfId="28601"/>
    <cellStyle name="40% - Accent3 4 2 2 2 6" xfId="6482"/>
    <cellStyle name="40% - Accent3 4 2 2 2 6 2" xfId="29257"/>
    <cellStyle name="40% - Accent3 4 2 2 2 7" xfId="3202"/>
    <cellStyle name="40% - Accent3 4 2 2 2 7 2" xfId="25977"/>
    <cellStyle name="40% - Accent3 4 2 2 2 8" xfId="7138"/>
    <cellStyle name="40% - Accent3 4 2 2 2 8 2" xfId="29913"/>
    <cellStyle name="40% - Accent3 4 2 2 2 9" xfId="7794"/>
    <cellStyle name="40% - Accent3 4 2 2 2 9 2" xfId="30569"/>
    <cellStyle name="40% - Accent3 4 2 2 20" xfId="13370"/>
    <cellStyle name="40% - Accent3 4 2 2 20 2" xfId="36145"/>
    <cellStyle name="40% - Accent3 4 2 2 21" xfId="14026"/>
    <cellStyle name="40% - Accent3 4 2 2 21 2" xfId="36801"/>
    <cellStyle name="40% - Accent3 4 2 2 22" xfId="14682"/>
    <cellStyle name="40% - Accent3 4 2 2 22 2" xfId="37457"/>
    <cellStyle name="40% - Accent3 4 2 2 23" xfId="15338"/>
    <cellStyle name="40% - Accent3 4 2 2 23 2" xfId="38113"/>
    <cellStyle name="40% - Accent3 4 2 2 24" xfId="15994"/>
    <cellStyle name="40% - Accent3 4 2 2 24 2" xfId="38769"/>
    <cellStyle name="40% - Accent3 4 2 2 25" xfId="16650"/>
    <cellStyle name="40% - Accent3 4 2 2 25 2" xfId="39425"/>
    <cellStyle name="40% - Accent3 4 2 2 26" xfId="17306"/>
    <cellStyle name="40% - Accent3 4 2 2 26 2" xfId="40081"/>
    <cellStyle name="40% - Accent3 4 2 2 27" xfId="17962"/>
    <cellStyle name="40% - Accent3 4 2 2 27 2" xfId="40737"/>
    <cellStyle name="40% - Accent3 4 2 2 28" xfId="18618"/>
    <cellStyle name="40% - Accent3 4 2 2 28 2" xfId="41393"/>
    <cellStyle name="40% - Accent3 4 2 2 29" xfId="19274"/>
    <cellStyle name="40% - Accent3 4 2 2 29 2" xfId="42049"/>
    <cellStyle name="40% - Accent3 4 2 2 3" xfId="1234"/>
    <cellStyle name="40% - Accent3 4 2 2 3 2" xfId="2874"/>
    <cellStyle name="40% - Accent3 4 2 2 3 2 2" xfId="25649"/>
    <cellStyle name="40% - Accent3 4 2 2 3 3" xfId="24009"/>
    <cellStyle name="40% - Accent3 4 2 2 30" xfId="19930"/>
    <cellStyle name="40% - Accent3 4 2 2 30 2" xfId="42705"/>
    <cellStyle name="40% - Accent3 4 2 2 31" xfId="20586"/>
    <cellStyle name="40% - Accent3 4 2 2 31 2" xfId="43361"/>
    <cellStyle name="40% - Accent3 4 2 2 32" xfId="21242"/>
    <cellStyle name="40% - Accent3 4 2 2 32 2" xfId="44017"/>
    <cellStyle name="40% - Accent3 4 2 2 33" xfId="21898"/>
    <cellStyle name="40% - Accent3 4 2 2 33 2" xfId="44673"/>
    <cellStyle name="40% - Accent3 4 2 2 34" xfId="22554"/>
    <cellStyle name="40% - Accent3 4 2 2 34 2" xfId="45329"/>
    <cellStyle name="40% - Accent3 4 2 2 35" xfId="23353"/>
    <cellStyle name="40% - Accent3 4 2 2 4" xfId="1890"/>
    <cellStyle name="40% - Accent3 4 2 2 4 2" xfId="3530"/>
    <cellStyle name="40% - Accent3 4 2 2 4 2 2" xfId="26305"/>
    <cellStyle name="40% - Accent3 4 2 2 4 3" xfId="24665"/>
    <cellStyle name="40% - Accent3 4 2 2 5" xfId="4186"/>
    <cellStyle name="40% - Accent3 4 2 2 5 2" xfId="26961"/>
    <cellStyle name="40% - Accent3 4 2 2 6" xfId="4842"/>
    <cellStyle name="40% - Accent3 4 2 2 6 2" xfId="27617"/>
    <cellStyle name="40% - Accent3 4 2 2 7" xfId="5498"/>
    <cellStyle name="40% - Accent3 4 2 2 7 2" xfId="28273"/>
    <cellStyle name="40% - Accent3 4 2 2 8" xfId="6154"/>
    <cellStyle name="40% - Accent3 4 2 2 8 2" xfId="28929"/>
    <cellStyle name="40% - Accent3 4 2 2 9" xfId="2546"/>
    <cellStyle name="40% - Accent3 4 2 2 9 2" xfId="25321"/>
    <cellStyle name="40% - Accent3 4 2 20" xfId="12529"/>
    <cellStyle name="40% - Accent3 4 2 20 2" xfId="35304"/>
    <cellStyle name="40% - Accent3 4 2 21" xfId="13185"/>
    <cellStyle name="40% - Accent3 4 2 21 2" xfId="35960"/>
    <cellStyle name="40% - Accent3 4 2 22" xfId="13841"/>
    <cellStyle name="40% - Accent3 4 2 22 2" xfId="36616"/>
    <cellStyle name="40% - Accent3 4 2 23" xfId="14497"/>
    <cellStyle name="40% - Accent3 4 2 23 2" xfId="37272"/>
    <cellStyle name="40% - Accent3 4 2 24" xfId="15153"/>
    <cellStyle name="40% - Accent3 4 2 24 2" xfId="37928"/>
    <cellStyle name="40% - Accent3 4 2 25" xfId="15809"/>
    <cellStyle name="40% - Accent3 4 2 25 2" xfId="38584"/>
    <cellStyle name="40% - Accent3 4 2 26" xfId="16465"/>
    <cellStyle name="40% - Accent3 4 2 26 2" xfId="39240"/>
    <cellStyle name="40% - Accent3 4 2 27" xfId="17121"/>
    <cellStyle name="40% - Accent3 4 2 27 2" xfId="39896"/>
    <cellStyle name="40% - Accent3 4 2 28" xfId="17777"/>
    <cellStyle name="40% - Accent3 4 2 28 2" xfId="40552"/>
    <cellStyle name="40% - Accent3 4 2 29" xfId="18433"/>
    <cellStyle name="40% - Accent3 4 2 29 2" xfId="41208"/>
    <cellStyle name="40% - Accent3 4 2 3" xfId="721"/>
    <cellStyle name="40% - Accent3 4 2 3 10" xfId="8265"/>
    <cellStyle name="40% - Accent3 4 2 3 10 2" xfId="31040"/>
    <cellStyle name="40% - Accent3 4 2 3 11" xfId="8921"/>
    <cellStyle name="40% - Accent3 4 2 3 11 2" xfId="31696"/>
    <cellStyle name="40% - Accent3 4 2 3 12" xfId="9577"/>
    <cellStyle name="40% - Accent3 4 2 3 12 2" xfId="32352"/>
    <cellStyle name="40% - Accent3 4 2 3 13" xfId="10233"/>
    <cellStyle name="40% - Accent3 4 2 3 13 2" xfId="33008"/>
    <cellStyle name="40% - Accent3 4 2 3 14" xfId="10889"/>
    <cellStyle name="40% - Accent3 4 2 3 14 2" xfId="33664"/>
    <cellStyle name="40% - Accent3 4 2 3 15" xfId="11545"/>
    <cellStyle name="40% - Accent3 4 2 3 15 2" xfId="34320"/>
    <cellStyle name="40% - Accent3 4 2 3 16" xfId="12201"/>
    <cellStyle name="40% - Accent3 4 2 3 16 2" xfId="34976"/>
    <cellStyle name="40% - Accent3 4 2 3 17" xfId="12857"/>
    <cellStyle name="40% - Accent3 4 2 3 17 2" xfId="35632"/>
    <cellStyle name="40% - Accent3 4 2 3 18" xfId="13513"/>
    <cellStyle name="40% - Accent3 4 2 3 18 2" xfId="36288"/>
    <cellStyle name="40% - Accent3 4 2 3 19" xfId="14169"/>
    <cellStyle name="40% - Accent3 4 2 3 19 2" xfId="36944"/>
    <cellStyle name="40% - Accent3 4 2 3 2" xfId="1377"/>
    <cellStyle name="40% - Accent3 4 2 3 2 2" xfId="3673"/>
    <cellStyle name="40% - Accent3 4 2 3 2 2 2" xfId="26448"/>
    <cellStyle name="40% - Accent3 4 2 3 2 3" xfId="24152"/>
    <cellStyle name="40% - Accent3 4 2 3 20" xfId="14825"/>
    <cellStyle name="40% - Accent3 4 2 3 20 2" xfId="37600"/>
    <cellStyle name="40% - Accent3 4 2 3 21" xfId="15481"/>
    <cellStyle name="40% - Accent3 4 2 3 21 2" xfId="38256"/>
    <cellStyle name="40% - Accent3 4 2 3 22" xfId="16137"/>
    <cellStyle name="40% - Accent3 4 2 3 22 2" xfId="38912"/>
    <cellStyle name="40% - Accent3 4 2 3 23" xfId="16793"/>
    <cellStyle name="40% - Accent3 4 2 3 23 2" xfId="39568"/>
    <cellStyle name="40% - Accent3 4 2 3 24" xfId="17449"/>
    <cellStyle name="40% - Accent3 4 2 3 24 2" xfId="40224"/>
    <cellStyle name="40% - Accent3 4 2 3 25" xfId="18105"/>
    <cellStyle name="40% - Accent3 4 2 3 25 2" xfId="40880"/>
    <cellStyle name="40% - Accent3 4 2 3 26" xfId="18761"/>
    <cellStyle name="40% - Accent3 4 2 3 26 2" xfId="41536"/>
    <cellStyle name="40% - Accent3 4 2 3 27" xfId="19417"/>
    <cellStyle name="40% - Accent3 4 2 3 27 2" xfId="42192"/>
    <cellStyle name="40% - Accent3 4 2 3 28" xfId="20073"/>
    <cellStyle name="40% - Accent3 4 2 3 28 2" xfId="42848"/>
    <cellStyle name="40% - Accent3 4 2 3 29" xfId="20729"/>
    <cellStyle name="40% - Accent3 4 2 3 29 2" xfId="43504"/>
    <cellStyle name="40% - Accent3 4 2 3 3" xfId="2033"/>
    <cellStyle name="40% - Accent3 4 2 3 3 2" xfId="4329"/>
    <cellStyle name="40% - Accent3 4 2 3 3 2 2" xfId="27104"/>
    <cellStyle name="40% - Accent3 4 2 3 3 3" xfId="24808"/>
    <cellStyle name="40% - Accent3 4 2 3 30" xfId="21385"/>
    <cellStyle name="40% - Accent3 4 2 3 30 2" xfId="44160"/>
    <cellStyle name="40% - Accent3 4 2 3 31" xfId="22041"/>
    <cellStyle name="40% - Accent3 4 2 3 31 2" xfId="44816"/>
    <cellStyle name="40% - Accent3 4 2 3 32" xfId="22697"/>
    <cellStyle name="40% - Accent3 4 2 3 32 2" xfId="45472"/>
    <cellStyle name="40% - Accent3 4 2 3 33" xfId="23496"/>
    <cellStyle name="40% - Accent3 4 2 3 4" xfId="4985"/>
    <cellStyle name="40% - Accent3 4 2 3 4 2" xfId="27760"/>
    <cellStyle name="40% - Accent3 4 2 3 5" xfId="5641"/>
    <cellStyle name="40% - Accent3 4 2 3 5 2" xfId="28416"/>
    <cellStyle name="40% - Accent3 4 2 3 6" xfId="6297"/>
    <cellStyle name="40% - Accent3 4 2 3 6 2" xfId="29072"/>
    <cellStyle name="40% - Accent3 4 2 3 7" xfId="3017"/>
    <cellStyle name="40% - Accent3 4 2 3 7 2" xfId="25792"/>
    <cellStyle name="40% - Accent3 4 2 3 8" xfId="6953"/>
    <cellStyle name="40% - Accent3 4 2 3 8 2" xfId="29728"/>
    <cellStyle name="40% - Accent3 4 2 3 9" xfId="7609"/>
    <cellStyle name="40% - Accent3 4 2 3 9 2" xfId="30384"/>
    <cellStyle name="40% - Accent3 4 2 30" xfId="19089"/>
    <cellStyle name="40% - Accent3 4 2 30 2" xfId="41864"/>
    <cellStyle name="40% - Accent3 4 2 31" xfId="19745"/>
    <cellStyle name="40% - Accent3 4 2 31 2" xfId="42520"/>
    <cellStyle name="40% - Accent3 4 2 32" xfId="20401"/>
    <cellStyle name="40% - Accent3 4 2 32 2" xfId="43176"/>
    <cellStyle name="40% - Accent3 4 2 33" xfId="21057"/>
    <cellStyle name="40% - Accent3 4 2 33 2" xfId="43832"/>
    <cellStyle name="40% - Accent3 4 2 34" xfId="21713"/>
    <cellStyle name="40% - Accent3 4 2 34 2" xfId="44488"/>
    <cellStyle name="40% - Accent3 4 2 35" xfId="22369"/>
    <cellStyle name="40% - Accent3 4 2 35 2" xfId="45144"/>
    <cellStyle name="40% - Accent3 4 2 36" xfId="23025"/>
    <cellStyle name="40% - Accent3 4 2 4" xfId="394"/>
    <cellStyle name="40% - Accent3 4 2 4 2" xfId="2689"/>
    <cellStyle name="40% - Accent3 4 2 4 2 2" xfId="25464"/>
    <cellStyle name="40% - Accent3 4 2 4 3" xfId="23168"/>
    <cellStyle name="40% - Accent3 4 2 5" xfId="1049"/>
    <cellStyle name="40% - Accent3 4 2 5 2" xfId="3345"/>
    <cellStyle name="40% - Accent3 4 2 5 2 2" xfId="26120"/>
    <cellStyle name="40% - Accent3 4 2 5 3" xfId="23824"/>
    <cellStyle name="40% - Accent3 4 2 6" xfId="1705"/>
    <cellStyle name="40% - Accent3 4 2 6 2" xfId="4001"/>
    <cellStyle name="40% - Accent3 4 2 6 2 2" xfId="26776"/>
    <cellStyle name="40% - Accent3 4 2 6 3" xfId="24480"/>
    <cellStyle name="40% - Accent3 4 2 7" xfId="4657"/>
    <cellStyle name="40% - Accent3 4 2 7 2" xfId="27432"/>
    <cellStyle name="40% - Accent3 4 2 8" xfId="5313"/>
    <cellStyle name="40% - Accent3 4 2 8 2" xfId="28088"/>
    <cellStyle name="40% - Accent3 4 2 9" xfId="5969"/>
    <cellStyle name="40% - Accent3 4 2 9 2" xfId="28744"/>
    <cellStyle name="40% - Accent3 4 20" xfId="11802"/>
    <cellStyle name="40% - Accent3 4 20 2" xfId="34577"/>
    <cellStyle name="40% - Accent3 4 21" xfId="12458"/>
    <cellStyle name="40% - Accent3 4 21 2" xfId="35233"/>
    <cellStyle name="40% - Accent3 4 22" xfId="13114"/>
    <cellStyle name="40% - Accent3 4 22 2" xfId="35889"/>
    <cellStyle name="40% - Accent3 4 23" xfId="13770"/>
    <cellStyle name="40% - Accent3 4 23 2" xfId="36545"/>
    <cellStyle name="40% - Accent3 4 24" xfId="14426"/>
    <cellStyle name="40% - Accent3 4 24 2" xfId="37201"/>
    <cellStyle name="40% - Accent3 4 25" xfId="15082"/>
    <cellStyle name="40% - Accent3 4 25 2" xfId="37857"/>
    <cellStyle name="40% - Accent3 4 26" xfId="15738"/>
    <cellStyle name="40% - Accent3 4 26 2" xfId="38513"/>
    <cellStyle name="40% - Accent3 4 27" xfId="16394"/>
    <cellStyle name="40% - Accent3 4 27 2" xfId="39169"/>
    <cellStyle name="40% - Accent3 4 28" xfId="17050"/>
    <cellStyle name="40% - Accent3 4 28 2" xfId="39825"/>
    <cellStyle name="40% - Accent3 4 29" xfId="17706"/>
    <cellStyle name="40% - Accent3 4 29 2" xfId="40481"/>
    <cellStyle name="40% - Accent3 4 3" xfId="507"/>
    <cellStyle name="40% - Accent3 4 3 10" xfId="6739"/>
    <cellStyle name="40% - Accent3 4 3 10 2" xfId="29514"/>
    <cellStyle name="40% - Accent3 4 3 11" xfId="7395"/>
    <cellStyle name="40% - Accent3 4 3 11 2" xfId="30170"/>
    <cellStyle name="40% - Accent3 4 3 12" xfId="8051"/>
    <cellStyle name="40% - Accent3 4 3 12 2" xfId="30826"/>
    <cellStyle name="40% - Accent3 4 3 13" xfId="8707"/>
    <cellStyle name="40% - Accent3 4 3 13 2" xfId="31482"/>
    <cellStyle name="40% - Accent3 4 3 14" xfId="9363"/>
    <cellStyle name="40% - Accent3 4 3 14 2" xfId="32138"/>
    <cellStyle name="40% - Accent3 4 3 15" xfId="10019"/>
    <cellStyle name="40% - Accent3 4 3 15 2" xfId="32794"/>
    <cellStyle name="40% - Accent3 4 3 16" xfId="10675"/>
    <cellStyle name="40% - Accent3 4 3 16 2" xfId="33450"/>
    <cellStyle name="40% - Accent3 4 3 17" xfId="11331"/>
    <cellStyle name="40% - Accent3 4 3 17 2" xfId="34106"/>
    <cellStyle name="40% - Accent3 4 3 18" xfId="11987"/>
    <cellStyle name="40% - Accent3 4 3 18 2" xfId="34762"/>
    <cellStyle name="40% - Accent3 4 3 19" xfId="12643"/>
    <cellStyle name="40% - Accent3 4 3 19 2" xfId="35418"/>
    <cellStyle name="40% - Accent3 4 3 2" xfId="835"/>
    <cellStyle name="40% - Accent3 4 3 2 10" xfId="8379"/>
    <cellStyle name="40% - Accent3 4 3 2 10 2" xfId="31154"/>
    <cellStyle name="40% - Accent3 4 3 2 11" xfId="9035"/>
    <cellStyle name="40% - Accent3 4 3 2 11 2" xfId="31810"/>
    <cellStyle name="40% - Accent3 4 3 2 12" xfId="9691"/>
    <cellStyle name="40% - Accent3 4 3 2 12 2" xfId="32466"/>
    <cellStyle name="40% - Accent3 4 3 2 13" xfId="10347"/>
    <cellStyle name="40% - Accent3 4 3 2 13 2" xfId="33122"/>
    <cellStyle name="40% - Accent3 4 3 2 14" xfId="11003"/>
    <cellStyle name="40% - Accent3 4 3 2 14 2" xfId="33778"/>
    <cellStyle name="40% - Accent3 4 3 2 15" xfId="11659"/>
    <cellStyle name="40% - Accent3 4 3 2 15 2" xfId="34434"/>
    <cellStyle name="40% - Accent3 4 3 2 16" xfId="12315"/>
    <cellStyle name="40% - Accent3 4 3 2 16 2" xfId="35090"/>
    <cellStyle name="40% - Accent3 4 3 2 17" xfId="12971"/>
    <cellStyle name="40% - Accent3 4 3 2 17 2" xfId="35746"/>
    <cellStyle name="40% - Accent3 4 3 2 18" xfId="13627"/>
    <cellStyle name="40% - Accent3 4 3 2 18 2" xfId="36402"/>
    <cellStyle name="40% - Accent3 4 3 2 19" xfId="14283"/>
    <cellStyle name="40% - Accent3 4 3 2 19 2" xfId="37058"/>
    <cellStyle name="40% - Accent3 4 3 2 2" xfId="1491"/>
    <cellStyle name="40% - Accent3 4 3 2 2 2" xfId="3787"/>
    <cellStyle name="40% - Accent3 4 3 2 2 2 2" xfId="26562"/>
    <cellStyle name="40% - Accent3 4 3 2 2 3" xfId="24266"/>
    <cellStyle name="40% - Accent3 4 3 2 20" xfId="14939"/>
    <cellStyle name="40% - Accent3 4 3 2 20 2" xfId="37714"/>
    <cellStyle name="40% - Accent3 4 3 2 21" xfId="15595"/>
    <cellStyle name="40% - Accent3 4 3 2 21 2" xfId="38370"/>
    <cellStyle name="40% - Accent3 4 3 2 22" xfId="16251"/>
    <cellStyle name="40% - Accent3 4 3 2 22 2" xfId="39026"/>
    <cellStyle name="40% - Accent3 4 3 2 23" xfId="16907"/>
    <cellStyle name="40% - Accent3 4 3 2 23 2" xfId="39682"/>
    <cellStyle name="40% - Accent3 4 3 2 24" xfId="17563"/>
    <cellStyle name="40% - Accent3 4 3 2 24 2" xfId="40338"/>
    <cellStyle name="40% - Accent3 4 3 2 25" xfId="18219"/>
    <cellStyle name="40% - Accent3 4 3 2 25 2" xfId="40994"/>
    <cellStyle name="40% - Accent3 4 3 2 26" xfId="18875"/>
    <cellStyle name="40% - Accent3 4 3 2 26 2" xfId="41650"/>
    <cellStyle name="40% - Accent3 4 3 2 27" xfId="19531"/>
    <cellStyle name="40% - Accent3 4 3 2 27 2" xfId="42306"/>
    <cellStyle name="40% - Accent3 4 3 2 28" xfId="20187"/>
    <cellStyle name="40% - Accent3 4 3 2 28 2" xfId="42962"/>
    <cellStyle name="40% - Accent3 4 3 2 29" xfId="20843"/>
    <cellStyle name="40% - Accent3 4 3 2 29 2" xfId="43618"/>
    <cellStyle name="40% - Accent3 4 3 2 3" xfId="2147"/>
    <cellStyle name="40% - Accent3 4 3 2 3 2" xfId="4443"/>
    <cellStyle name="40% - Accent3 4 3 2 3 2 2" xfId="27218"/>
    <cellStyle name="40% - Accent3 4 3 2 3 3" xfId="24922"/>
    <cellStyle name="40% - Accent3 4 3 2 30" xfId="21499"/>
    <cellStyle name="40% - Accent3 4 3 2 30 2" xfId="44274"/>
    <cellStyle name="40% - Accent3 4 3 2 31" xfId="22155"/>
    <cellStyle name="40% - Accent3 4 3 2 31 2" xfId="44930"/>
    <cellStyle name="40% - Accent3 4 3 2 32" xfId="22811"/>
    <cellStyle name="40% - Accent3 4 3 2 32 2" xfId="45586"/>
    <cellStyle name="40% - Accent3 4 3 2 33" xfId="23610"/>
    <cellStyle name="40% - Accent3 4 3 2 4" xfId="5099"/>
    <cellStyle name="40% - Accent3 4 3 2 4 2" xfId="27874"/>
    <cellStyle name="40% - Accent3 4 3 2 5" xfId="5755"/>
    <cellStyle name="40% - Accent3 4 3 2 5 2" xfId="28530"/>
    <cellStyle name="40% - Accent3 4 3 2 6" xfId="6411"/>
    <cellStyle name="40% - Accent3 4 3 2 6 2" xfId="29186"/>
    <cellStyle name="40% - Accent3 4 3 2 7" xfId="3131"/>
    <cellStyle name="40% - Accent3 4 3 2 7 2" xfId="25906"/>
    <cellStyle name="40% - Accent3 4 3 2 8" xfId="7067"/>
    <cellStyle name="40% - Accent3 4 3 2 8 2" xfId="29842"/>
    <cellStyle name="40% - Accent3 4 3 2 9" xfId="7723"/>
    <cellStyle name="40% - Accent3 4 3 2 9 2" xfId="30498"/>
    <cellStyle name="40% - Accent3 4 3 20" xfId="13299"/>
    <cellStyle name="40% - Accent3 4 3 20 2" xfId="36074"/>
    <cellStyle name="40% - Accent3 4 3 21" xfId="13955"/>
    <cellStyle name="40% - Accent3 4 3 21 2" xfId="36730"/>
    <cellStyle name="40% - Accent3 4 3 22" xfId="14611"/>
    <cellStyle name="40% - Accent3 4 3 22 2" xfId="37386"/>
    <cellStyle name="40% - Accent3 4 3 23" xfId="15267"/>
    <cellStyle name="40% - Accent3 4 3 23 2" xfId="38042"/>
    <cellStyle name="40% - Accent3 4 3 24" xfId="15923"/>
    <cellStyle name="40% - Accent3 4 3 24 2" xfId="38698"/>
    <cellStyle name="40% - Accent3 4 3 25" xfId="16579"/>
    <cellStyle name="40% - Accent3 4 3 25 2" xfId="39354"/>
    <cellStyle name="40% - Accent3 4 3 26" xfId="17235"/>
    <cellStyle name="40% - Accent3 4 3 26 2" xfId="40010"/>
    <cellStyle name="40% - Accent3 4 3 27" xfId="17891"/>
    <cellStyle name="40% - Accent3 4 3 27 2" xfId="40666"/>
    <cellStyle name="40% - Accent3 4 3 28" xfId="18547"/>
    <cellStyle name="40% - Accent3 4 3 28 2" xfId="41322"/>
    <cellStyle name="40% - Accent3 4 3 29" xfId="19203"/>
    <cellStyle name="40% - Accent3 4 3 29 2" xfId="41978"/>
    <cellStyle name="40% - Accent3 4 3 3" xfId="1163"/>
    <cellStyle name="40% - Accent3 4 3 3 2" xfId="2803"/>
    <cellStyle name="40% - Accent3 4 3 3 2 2" xfId="25578"/>
    <cellStyle name="40% - Accent3 4 3 3 3" xfId="23938"/>
    <cellStyle name="40% - Accent3 4 3 30" xfId="19859"/>
    <cellStyle name="40% - Accent3 4 3 30 2" xfId="42634"/>
    <cellStyle name="40% - Accent3 4 3 31" xfId="20515"/>
    <cellStyle name="40% - Accent3 4 3 31 2" xfId="43290"/>
    <cellStyle name="40% - Accent3 4 3 32" xfId="21171"/>
    <cellStyle name="40% - Accent3 4 3 32 2" xfId="43946"/>
    <cellStyle name="40% - Accent3 4 3 33" xfId="21827"/>
    <cellStyle name="40% - Accent3 4 3 33 2" xfId="44602"/>
    <cellStyle name="40% - Accent3 4 3 34" xfId="22483"/>
    <cellStyle name="40% - Accent3 4 3 34 2" xfId="45258"/>
    <cellStyle name="40% - Accent3 4 3 35" xfId="23282"/>
    <cellStyle name="40% - Accent3 4 3 4" xfId="1819"/>
    <cellStyle name="40% - Accent3 4 3 4 2" xfId="3459"/>
    <cellStyle name="40% - Accent3 4 3 4 2 2" xfId="26234"/>
    <cellStyle name="40% - Accent3 4 3 4 3" xfId="24594"/>
    <cellStyle name="40% - Accent3 4 3 5" xfId="4115"/>
    <cellStyle name="40% - Accent3 4 3 5 2" xfId="26890"/>
    <cellStyle name="40% - Accent3 4 3 6" xfId="4771"/>
    <cellStyle name="40% - Accent3 4 3 6 2" xfId="27546"/>
    <cellStyle name="40% - Accent3 4 3 7" xfId="5427"/>
    <cellStyle name="40% - Accent3 4 3 7 2" xfId="28202"/>
    <cellStyle name="40% - Accent3 4 3 8" xfId="6083"/>
    <cellStyle name="40% - Accent3 4 3 8 2" xfId="28858"/>
    <cellStyle name="40% - Accent3 4 3 9" xfId="2475"/>
    <cellStyle name="40% - Accent3 4 3 9 2" xfId="25250"/>
    <cellStyle name="40% - Accent3 4 30" xfId="18362"/>
    <cellStyle name="40% - Accent3 4 30 2" xfId="41137"/>
    <cellStyle name="40% - Accent3 4 31" xfId="19018"/>
    <cellStyle name="40% - Accent3 4 31 2" xfId="41793"/>
    <cellStyle name="40% - Accent3 4 32" xfId="19674"/>
    <cellStyle name="40% - Accent3 4 32 2" xfId="42449"/>
    <cellStyle name="40% - Accent3 4 33" xfId="20330"/>
    <cellStyle name="40% - Accent3 4 33 2" xfId="43105"/>
    <cellStyle name="40% - Accent3 4 34" xfId="20986"/>
    <cellStyle name="40% - Accent3 4 34 2" xfId="43761"/>
    <cellStyle name="40% - Accent3 4 35" xfId="21642"/>
    <cellStyle name="40% - Accent3 4 35 2" xfId="44417"/>
    <cellStyle name="40% - Accent3 4 36" xfId="22298"/>
    <cellStyle name="40% - Accent3 4 36 2" xfId="45073"/>
    <cellStyle name="40% - Accent3 4 37" xfId="237"/>
    <cellStyle name="40% - Accent3 4 38" xfId="22954"/>
    <cellStyle name="40% - Accent3 4 4" xfId="650"/>
    <cellStyle name="40% - Accent3 4 4 10" xfId="8194"/>
    <cellStyle name="40% - Accent3 4 4 10 2" xfId="30969"/>
    <cellStyle name="40% - Accent3 4 4 11" xfId="8850"/>
    <cellStyle name="40% - Accent3 4 4 11 2" xfId="31625"/>
    <cellStyle name="40% - Accent3 4 4 12" xfId="9506"/>
    <cellStyle name="40% - Accent3 4 4 12 2" xfId="32281"/>
    <cellStyle name="40% - Accent3 4 4 13" xfId="10162"/>
    <cellStyle name="40% - Accent3 4 4 13 2" xfId="32937"/>
    <cellStyle name="40% - Accent3 4 4 14" xfId="10818"/>
    <cellStyle name="40% - Accent3 4 4 14 2" xfId="33593"/>
    <cellStyle name="40% - Accent3 4 4 15" xfId="11474"/>
    <cellStyle name="40% - Accent3 4 4 15 2" xfId="34249"/>
    <cellStyle name="40% - Accent3 4 4 16" xfId="12130"/>
    <cellStyle name="40% - Accent3 4 4 16 2" xfId="34905"/>
    <cellStyle name="40% - Accent3 4 4 17" xfId="12786"/>
    <cellStyle name="40% - Accent3 4 4 17 2" xfId="35561"/>
    <cellStyle name="40% - Accent3 4 4 18" xfId="13442"/>
    <cellStyle name="40% - Accent3 4 4 18 2" xfId="36217"/>
    <cellStyle name="40% - Accent3 4 4 19" xfId="14098"/>
    <cellStyle name="40% - Accent3 4 4 19 2" xfId="36873"/>
    <cellStyle name="40% - Accent3 4 4 2" xfId="1306"/>
    <cellStyle name="40% - Accent3 4 4 2 2" xfId="3602"/>
    <cellStyle name="40% - Accent3 4 4 2 2 2" xfId="26377"/>
    <cellStyle name="40% - Accent3 4 4 2 3" xfId="24081"/>
    <cellStyle name="40% - Accent3 4 4 20" xfId="14754"/>
    <cellStyle name="40% - Accent3 4 4 20 2" xfId="37529"/>
    <cellStyle name="40% - Accent3 4 4 21" xfId="15410"/>
    <cellStyle name="40% - Accent3 4 4 21 2" xfId="38185"/>
    <cellStyle name="40% - Accent3 4 4 22" xfId="16066"/>
    <cellStyle name="40% - Accent3 4 4 22 2" xfId="38841"/>
    <cellStyle name="40% - Accent3 4 4 23" xfId="16722"/>
    <cellStyle name="40% - Accent3 4 4 23 2" xfId="39497"/>
    <cellStyle name="40% - Accent3 4 4 24" xfId="17378"/>
    <cellStyle name="40% - Accent3 4 4 24 2" xfId="40153"/>
    <cellStyle name="40% - Accent3 4 4 25" xfId="18034"/>
    <cellStyle name="40% - Accent3 4 4 25 2" xfId="40809"/>
    <cellStyle name="40% - Accent3 4 4 26" xfId="18690"/>
    <cellStyle name="40% - Accent3 4 4 26 2" xfId="41465"/>
    <cellStyle name="40% - Accent3 4 4 27" xfId="19346"/>
    <cellStyle name="40% - Accent3 4 4 27 2" xfId="42121"/>
    <cellStyle name="40% - Accent3 4 4 28" xfId="20002"/>
    <cellStyle name="40% - Accent3 4 4 28 2" xfId="42777"/>
    <cellStyle name="40% - Accent3 4 4 29" xfId="20658"/>
    <cellStyle name="40% - Accent3 4 4 29 2" xfId="43433"/>
    <cellStyle name="40% - Accent3 4 4 3" xfId="1962"/>
    <cellStyle name="40% - Accent3 4 4 3 2" xfId="4258"/>
    <cellStyle name="40% - Accent3 4 4 3 2 2" xfId="27033"/>
    <cellStyle name="40% - Accent3 4 4 3 3" xfId="24737"/>
    <cellStyle name="40% - Accent3 4 4 30" xfId="21314"/>
    <cellStyle name="40% - Accent3 4 4 30 2" xfId="44089"/>
    <cellStyle name="40% - Accent3 4 4 31" xfId="21970"/>
    <cellStyle name="40% - Accent3 4 4 31 2" xfId="44745"/>
    <cellStyle name="40% - Accent3 4 4 32" xfId="22626"/>
    <cellStyle name="40% - Accent3 4 4 32 2" xfId="45401"/>
    <cellStyle name="40% - Accent3 4 4 33" xfId="23425"/>
    <cellStyle name="40% - Accent3 4 4 4" xfId="4914"/>
    <cellStyle name="40% - Accent3 4 4 4 2" xfId="27689"/>
    <cellStyle name="40% - Accent3 4 4 5" xfId="5570"/>
    <cellStyle name="40% - Accent3 4 4 5 2" xfId="28345"/>
    <cellStyle name="40% - Accent3 4 4 6" xfId="6226"/>
    <cellStyle name="40% - Accent3 4 4 6 2" xfId="29001"/>
    <cellStyle name="40% - Accent3 4 4 7" xfId="2946"/>
    <cellStyle name="40% - Accent3 4 4 7 2" xfId="25721"/>
    <cellStyle name="40% - Accent3 4 4 8" xfId="6882"/>
    <cellStyle name="40% - Accent3 4 4 8 2" xfId="29657"/>
    <cellStyle name="40% - Accent3 4 4 9" xfId="7538"/>
    <cellStyle name="40% - Accent3 4 4 9 2" xfId="30313"/>
    <cellStyle name="40% - Accent3 4 5" xfId="323"/>
    <cellStyle name="40% - Accent3 4 5 2" xfId="2618"/>
    <cellStyle name="40% - Accent3 4 5 2 2" xfId="25393"/>
    <cellStyle name="40% - Accent3 4 5 3" xfId="23097"/>
    <cellStyle name="40% - Accent3 4 6" xfId="978"/>
    <cellStyle name="40% - Accent3 4 6 2" xfId="3274"/>
    <cellStyle name="40% - Accent3 4 6 2 2" xfId="26049"/>
    <cellStyle name="40% - Accent3 4 6 3" xfId="23753"/>
    <cellStyle name="40% - Accent3 4 7" xfId="1634"/>
    <cellStyle name="40% - Accent3 4 7 2" xfId="3930"/>
    <cellStyle name="40% - Accent3 4 7 2 2" xfId="26705"/>
    <cellStyle name="40% - Accent3 4 7 3" xfId="24409"/>
    <cellStyle name="40% - Accent3 4 8" xfId="4586"/>
    <cellStyle name="40% - Accent3 4 8 2" xfId="27361"/>
    <cellStyle name="40% - Accent3 4 9" xfId="5242"/>
    <cellStyle name="40% - Accent3 4 9 2" xfId="28017"/>
    <cellStyle name="40% - Accent3 40" xfId="20285"/>
    <cellStyle name="40% - Accent3 40 2" xfId="43060"/>
    <cellStyle name="40% - Accent3 41" xfId="20941"/>
    <cellStyle name="40% - Accent3 41 2" xfId="43716"/>
    <cellStyle name="40% - Accent3 42" xfId="21597"/>
    <cellStyle name="40% - Accent3 42 2" xfId="44372"/>
    <cellStyle name="40% - Accent3 43" xfId="22253"/>
    <cellStyle name="40% - Accent3 43 2" xfId="45028"/>
    <cellStyle name="40% - Accent3 44" xfId="192"/>
    <cellStyle name="40% - Accent3 45" xfId="22909"/>
    <cellStyle name="40% - Accent3 5" xfId="106"/>
    <cellStyle name="40% - Accent3 5 10" xfId="5912"/>
    <cellStyle name="40% - Accent3 5 10 2" xfId="28687"/>
    <cellStyle name="40% - Accent3 5 11" xfId="2304"/>
    <cellStyle name="40% - Accent3 5 11 2" xfId="25079"/>
    <cellStyle name="40% - Accent3 5 12" xfId="6568"/>
    <cellStyle name="40% - Accent3 5 12 2" xfId="29343"/>
    <cellStyle name="40% - Accent3 5 13" xfId="7224"/>
    <cellStyle name="40% - Accent3 5 13 2" xfId="29999"/>
    <cellStyle name="40% - Accent3 5 14" xfId="7880"/>
    <cellStyle name="40% - Accent3 5 14 2" xfId="30655"/>
    <cellStyle name="40% - Accent3 5 15" xfId="8536"/>
    <cellStyle name="40% - Accent3 5 15 2" xfId="31311"/>
    <cellStyle name="40% - Accent3 5 16" xfId="9192"/>
    <cellStyle name="40% - Accent3 5 16 2" xfId="31967"/>
    <cellStyle name="40% - Accent3 5 17" xfId="9848"/>
    <cellStyle name="40% - Accent3 5 17 2" xfId="32623"/>
    <cellStyle name="40% - Accent3 5 18" xfId="10504"/>
    <cellStyle name="40% - Accent3 5 18 2" xfId="33279"/>
    <cellStyle name="40% - Accent3 5 19" xfId="11160"/>
    <cellStyle name="40% - Accent3 5 19 2" xfId="33935"/>
    <cellStyle name="40% - Accent3 5 2" xfId="177"/>
    <cellStyle name="40% - Accent3 5 2 10" xfId="2375"/>
    <cellStyle name="40% - Accent3 5 2 10 2" xfId="25150"/>
    <cellStyle name="40% - Accent3 5 2 11" xfId="6639"/>
    <cellStyle name="40% - Accent3 5 2 11 2" xfId="29414"/>
    <cellStyle name="40% - Accent3 5 2 12" xfId="7295"/>
    <cellStyle name="40% - Accent3 5 2 12 2" xfId="30070"/>
    <cellStyle name="40% - Accent3 5 2 13" xfId="7951"/>
    <cellStyle name="40% - Accent3 5 2 13 2" xfId="30726"/>
    <cellStyle name="40% - Accent3 5 2 14" xfId="8607"/>
    <cellStyle name="40% - Accent3 5 2 14 2" xfId="31382"/>
    <cellStyle name="40% - Accent3 5 2 15" xfId="9263"/>
    <cellStyle name="40% - Accent3 5 2 15 2" xfId="32038"/>
    <cellStyle name="40% - Accent3 5 2 16" xfId="9919"/>
    <cellStyle name="40% - Accent3 5 2 16 2" xfId="32694"/>
    <cellStyle name="40% - Accent3 5 2 17" xfId="10575"/>
    <cellStyle name="40% - Accent3 5 2 17 2" xfId="33350"/>
    <cellStyle name="40% - Accent3 5 2 18" xfId="11231"/>
    <cellStyle name="40% - Accent3 5 2 18 2" xfId="34006"/>
    <cellStyle name="40% - Accent3 5 2 19" xfId="11887"/>
    <cellStyle name="40% - Accent3 5 2 19 2" xfId="34662"/>
    <cellStyle name="40% - Accent3 5 2 2" xfId="591"/>
    <cellStyle name="40% - Accent3 5 2 2 10" xfId="6824"/>
    <cellStyle name="40% - Accent3 5 2 2 10 2" xfId="29599"/>
    <cellStyle name="40% - Accent3 5 2 2 11" xfId="7480"/>
    <cellStyle name="40% - Accent3 5 2 2 11 2" xfId="30255"/>
    <cellStyle name="40% - Accent3 5 2 2 12" xfId="8136"/>
    <cellStyle name="40% - Accent3 5 2 2 12 2" xfId="30911"/>
    <cellStyle name="40% - Accent3 5 2 2 13" xfId="8792"/>
    <cellStyle name="40% - Accent3 5 2 2 13 2" xfId="31567"/>
    <cellStyle name="40% - Accent3 5 2 2 14" xfId="9448"/>
    <cellStyle name="40% - Accent3 5 2 2 14 2" xfId="32223"/>
    <cellStyle name="40% - Accent3 5 2 2 15" xfId="10104"/>
    <cellStyle name="40% - Accent3 5 2 2 15 2" xfId="32879"/>
    <cellStyle name="40% - Accent3 5 2 2 16" xfId="10760"/>
    <cellStyle name="40% - Accent3 5 2 2 16 2" xfId="33535"/>
    <cellStyle name="40% - Accent3 5 2 2 17" xfId="11416"/>
    <cellStyle name="40% - Accent3 5 2 2 17 2" xfId="34191"/>
    <cellStyle name="40% - Accent3 5 2 2 18" xfId="12072"/>
    <cellStyle name="40% - Accent3 5 2 2 18 2" xfId="34847"/>
    <cellStyle name="40% - Accent3 5 2 2 19" xfId="12728"/>
    <cellStyle name="40% - Accent3 5 2 2 19 2" xfId="35503"/>
    <cellStyle name="40% - Accent3 5 2 2 2" xfId="920"/>
    <cellStyle name="40% - Accent3 5 2 2 2 10" xfId="8464"/>
    <cellStyle name="40% - Accent3 5 2 2 2 10 2" xfId="31239"/>
    <cellStyle name="40% - Accent3 5 2 2 2 11" xfId="9120"/>
    <cellStyle name="40% - Accent3 5 2 2 2 11 2" xfId="31895"/>
    <cellStyle name="40% - Accent3 5 2 2 2 12" xfId="9776"/>
    <cellStyle name="40% - Accent3 5 2 2 2 12 2" xfId="32551"/>
    <cellStyle name="40% - Accent3 5 2 2 2 13" xfId="10432"/>
    <cellStyle name="40% - Accent3 5 2 2 2 13 2" xfId="33207"/>
    <cellStyle name="40% - Accent3 5 2 2 2 14" xfId="11088"/>
    <cellStyle name="40% - Accent3 5 2 2 2 14 2" xfId="33863"/>
    <cellStyle name="40% - Accent3 5 2 2 2 15" xfId="11744"/>
    <cellStyle name="40% - Accent3 5 2 2 2 15 2" xfId="34519"/>
    <cellStyle name="40% - Accent3 5 2 2 2 16" xfId="12400"/>
    <cellStyle name="40% - Accent3 5 2 2 2 16 2" xfId="35175"/>
    <cellStyle name="40% - Accent3 5 2 2 2 17" xfId="13056"/>
    <cellStyle name="40% - Accent3 5 2 2 2 17 2" xfId="35831"/>
    <cellStyle name="40% - Accent3 5 2 2 2 18" xfId="13712"/>
    <cellStyle name="40% - Accent3 5 2 2 2 18 2" xfId="36487"/>
    <cellStyle name="40% - Accent3 5 2 2 2 19" xfId="14368"/>
    <cellStyle name="40% - Accent3 5 2 2 2 19 2" xfId="37143"/>
    <cellStyle name="40% - Accent3 5 2 2 2 2" xfId="1576"/>
    <cellStyle name="40% - Accent3 5 2 2 2 2 2" xfId="3872"/>
    <cellStyle name="40% - Accent3 5 2 2 2 2 2 2" xfId="26647"/>
    <cellStyle name="40% - Accent3 5 2 2 2 2 3" xfId="24351"/>
    <cellStyle name="40% - Accent3 5 2 2 2 20" xfId="15024"/>
    <cellStyle name="40% - Accent3 5 2 2 2 20 2" xfId="37799"/>
    <cellStyle name="40% - Accent3 5 2 2 2 21" xfId="15680"/>
    <cellStyle name="40% - Accent3 5 2 2 2 21 2" xfId="38455"/>
    <cellStyle name="40% - Accent3 5 2 2 2 22" xfId="16336"/>
    <cellStyle name="40% - Accent3 5 2 2 2 22 2" xfId="39111"/>
    <cellStyle name="40% - Accent3 5 2 2 2 23" xfId="16992"/>
    <cellStyle name="40% - Accent3 5 2 2 2 23 2" xfId="39767"/>
    <cellStyle name="40% - Accent3 5 2 2 2 24" xfId="17648"/>
    <cellStyle name="40% - Accent3 5 2 2 2 24 2" xfId="40423"/>
    <cellStyle name="40% - Accent3 5 2 2 2 25" xfId="18304"/>
    <cellStyle name="40% - Accent3 5 2 2 2 25 2" xfId="41079"/>
    <cellStyle name="40% - Accent3 5 2 2 2 26" xfId="18960"/>
    <cellStyle name="40% - Accent3 5 2 2 2 26 2" xfId="41735"/>
    <cellStyle name="40% - Accent3 5 2 2 2 27" xfId="19616"/>
    <cellStyle name="40% - Accent3 5 2 2 2 27 2" xfId="42391"/>
    <cellStyle name="40% - Accent3 5 2 2 2 28" xfId="20272"/>
    <cellStyle name="40% - Accent3 5 2 2 2 28 2" xfId="43047"/>
    <cellStyle name="40% - Accent3 5 2 2 2 29" xfId="20928"/>
    <cellStyle name="40% - Accent3 5 2 2 2 29 2" xfId="43703"/>
    <cellStyle name="40% - Accent3 5 2 2 2 3" xfId="2232"/>
    <cellStyle name="40% - Accent3 5 2 2 2 3 2" xfId="4528"/>
    <cellStyle name="40% - Accent3 5 2 2 2 3 2 2" xfId="27303"/>
    <cellStyle name="40% - Accent3 5 2 2 2 3 3" xfId="25007"/>
    <cellStyle name="40% - Accent3 5 2 2 2 30" xfId="21584"/>
    <cellStyle name="40% - Accent3 5 2 2 2 30 2" xfId="44359"/>
    <cellStyle name="40% - Accent3 5 2 2 2 31" xfId="22240"/>
    <cellStyle name="40% - Accent3 5 2 2 2 31 2" xfId="45015"/>
    <cellStyle name="40% - Accent3 5 2 2 2 32" xfId="22896"/>
    <cellStyle name="40% - Accent3 5 2 2 2 32 2" xfId="45671"/>
    <cellStyle name="40% - Accent3 5 2 2 2 33" xfId="23695"/>
    <cellStyle name="40% - Accent3 5 2 2 2 4" xfId="5184"/>
    <cellStyle name="40% - Accent3 5 2 2 2 4 2" xfId="27959"/>
    <cellStyle name="40% - Accent3 5 2 2 2 5" xfId="5840"/>
    <cellStyle name="40% - Accent3 5 2 2 2 5 2" xfId="28615"/>
    <cellStyle name="40% - Accent3 5 2 2 2 6" xfId="6496"/>
    <cellStyle name="40% - Accent3 5 2 2 2 6 2" xfId="29271"/>
    <cellStyle name="40% - Accent3 5 2 2 2 7" xfId="3216"/>
    <cellStyle name="40% - Accent3 5 2 2 2 7 2" xfId="25991"/>
    <cellStyle name="40% - Accent3 5 2 2 2 8" xfId="7152"/>
    <cellStyle name="40% - Accent3 5 2 2 2 8 2" xfId="29927"/>
    <cellStyle name="40% - Accent3 5 2 2 2 9" xfId="7808"/>
    <cellStyle name="40% - Accent3 5 2 2 2 9 2" xfId="30583"/>
    <cellStyle name="40% - Accent3 5 2 2 20" xfId="13384"/>
    <cellStyle name="40% - Accent3 5 2 2 20 2" xfId="36159"/>
    <cellStyle name="40% - Accent3 5 2 2 21" xfId="14040"/>
    <cellStyle name="40% - Accent3 5 2 2 21 2" xfId="36815"/>
    <cellStyle name="40% - Accent3 5 2 2 22" xfId="14696"/>
    <cellStyle name="40% - Accent3 5 2 2 22 2" xfId="37471"/>
    <cellStyle name="40% - Accent3 5 2 2 23" xfId="15352"/>
    <cellStyle name="40% - Accent3 5 2 2 23 2" xfId="38127"/>
    <cellStyle name="40% - Accent3 5 2 2 24" xfId="16008"/>
    <cellStyle name="40% - Accent3 5 2 2 24 2" xfId="38783"/>
    <cellStyle name="40% - Accent3 5 2 2 25" xfId="16664"/>
    <cellStyle name="40% - Accent3 5 2 2 25 2" xfId="39439"/>
    <cellStyle name="40% - Accent3 5 2 2 26" xfId="17320"/>
    <cellStyle name="40% - Accent3 5 2 2 26 2" xfId="40095"/>
    <cellStyle name="40% - Accent3 5 2 2 27" xfId="17976"/>
    <cellStyle name="40% - Accent3 5 2 2 27 2" xfId="40751"/>
    <cellStyle name="40% - Accent3 5 2 2 28" xfId="18632"/>
    <cellStyle name="40% - Accent3 5 2 2 28 2" xfId="41407"/>
    <cellStyle name="40% - Accent3 5 2 2 29" xfId="19288"/>
    <cellStyle name="40% - Accent3 5 2 2 29 2" xfId="42063"/>
    <cellStyle name="40% - Accent3 5 2 2 3" xfId="1248"/>
    <cellStyle name="40% - Accent3 5 2 2 3 2" xfId="2888"/>
    <cellStyle name="40% - Accent3 5 2 2 3 2 2" xfId="25663"/>
    <cellStyle name="40% - Accent3 5 2 2 3 3" xfId="24023"/>
    <cellStyle name="40% - Accent3 5 2 2 30" xfId="19944"/>
    <cellStyle name="40% - Accent3 5 2 2 30 2" xfId="42719"/>
    <cellStyle name="40% - Accent3 5 2 2 31" xfId="20600"/>
    <cellStyle name="40% - Accent3 5 2 2 31 2" xfId="43375"/>
    <cellStyle name="40% - Accent3 5 2 2 32" xfId="21256"/>
    <cellStyle name="40% - Accent3 5 2 2 32 2" xfId="44031"/>
    <cellStyle name="40% - Accent3 5 2 2 33" xfId="21912"/>
    <cellStyle name="40% - Accent3 5 2 2 33 2" xfId="44687"/>
    <cellStyle name="40% - Accent3 5 2 2 34" xfId="22568"/>
    <cellStyle name="40% - Accent3 5 2 2 34 2" xfId="45343"/>
    <cellStyle name="40% - Accent3 5 2 2 35" xfId="23367"/>
    <cellStyle name="40% - Accent3 5 2 2 4" xfId="1904"/>
    <cellStyle name="40% - Accent3 5 2 2 4 2" xfId="3544"/>
    <cellStyle name="40% - Accent3 5 2 2 4 2 2" xfId="26319"/>
    <cellStyle name="40% - Accent3 5 2 2 4 3" xfId="24679"/>
    <cellStyle name="40% - Accent3 5 2 2 5" xfId="4200"/>
    <cellStyle name="40% - Accent3 5 2 2 5 2" xfId="26975"/>
    <cellStyle name="40% - Accent3 5 2 2 6" xfId="4856"/>
    <cellStyle name="40% - Accent3 5 2 2 6 2" xfId="27631"/>
    <cellStyle name="40% - Accent3 5 2 2 7" xfId="5512"/>
    <cellStyle name="40% - Accent3 5 2 2 7 2" xfId="28287"/>
    <cellStyle name="40% - Accent3 5 2 2 8" xfId="6168"/>
    <cellStyle name="40% - Accent3 5 2 2 8 2" xfId="28943"/>
    <cellStyle name="40% - Accent3 5 2 2 9" xfId="2560"/>
    <cellStyle name="40% - Accent3 5 2 2 9 2" xfId="25335"/>
    <cellStyle name="40% - Accent3 5 2 20" xfId="12543"/>
    <cellStyle name="40% - Accent3 5 2 20 2" xfId="35318"/>
    <cellStyle name="40% - Accent3 5 2 21" xfId="13199"/>
    <cellStyle name="40% - Accent3 5 2 21 2" xfId="35974"/>
    <cellStyle name="40% - Accent3 5 2 22" xfId="13855"/>
    <cellStyle name="40% - Accent3 5 2 22 2" xfId="36630"/>
    <cellStyle name="40% - Accent3 5 2 23" xfId="14511"/>
    <cellStyle name="40% - Accent3 5 2 23 2" xfId="37286"/>
    <cellStyle name="40% - Accent3 5 2 24" xfId="15167"/>
    <cellStyle name="40% - Accent3 5 2 24 2" xfId="37942"/>
    <cellStyle name="40% - Accent3 5 2 25" xfId="15823"/>
    <cellStyle name="40% - Accent3 5 2 25 2" xfId="38598"/>
    <cellStyle name="40% - Accent3 5 2 26" xfId="16479"/>
    <cellStyle name="40% - Accent3 5 2 26 2" xfId="39254"/>
    <cellStyle name="40% - Accent3 5 2 27" xfId="17135"/>
    <cellStyle name="40% - Accent3 5 2 27 2" xfId="39910"/>
    <cellStyle name="40% - Accent3 5 2 28" xfId="17791"/>
    <cellStyle name="40% - Accent3 5 2 28 2" xfId="40566"/>
    <cellStyle name="40% - Accent3 5 2 29" xfId="18447"/>
    <cellStyle name="40% - Accent3 5 2 29 2" xfId="41222"/>
    <cellStyle name="40% - Accent3 5 2 3" xfId="735"/>
    <cellStyle name="40% - Accent3 5 2 3 10" xfId="8279"/>
    <cellStyle name="40% - Accent3 5 2 3 10 2" xfId="31054"/>
    <cellStyle name="40% - Accent3 5 2 3 11" xfId="8935"/>
    <cellStyle name="40% - Accent3 5 2 3 11 2" xfId="31710"/>
    <cellStyle name="40% - Accent3 5 2 3 12" xfId="9591"/>
    <cellStyle name="40% - Accent3 5 2 3 12 2" xfId="32366"/>
    <cellStyle name="40% - Accent3 5 2 3 13" xfId="10247"/>
    <cellStyle name="40% - Accent3 5 2 3 13 2" xfId="33022"/>
    <cellStyle name="40% - Accent3 5 2 3 14" xfId="10903"/>
    <cellStyle name="40% - Accent3 5 2 3 14 2" xfId="33678"/>
    <cellStyle name="40% - Accent3 5 2 3 15" xfId="11559"/>
    <cellStyle name="40% - Accent3 5 2 3 15 2" xfId="34334"/>
    <cellStyle name="40% - Accent3 5 2 3 16" xfId="12215"/>
    <cellStyle name="40% - Accent3 5 2 3 16 2" xfId="34990"/>
    <cellStyle name="40% - Accent3 5 2 3 17" xfId="12871"/>
    <cellStyle name="40% - Accent3 5 2 3 17 2" xfId="35646"/>
    <cellStyle name="40% - Accent3 5 2 3 18" xfId="13527"/>
    <cellStyle name="40% - Accent3 5 2 3 18 2" xfId="36302"/>
    <cellStyle name="40% - Accent3 5 2 3 19" xfId="14183"/>
    <cellStyle name="40% - Accent3 5 2 3 19 2" xfId="36958"/>
    <cellStyle name="40% - Accent3 5 2 3 2" xfId="1391"/>
    <cellStyle name="40% - Accent3 5 2 3 2 2" xfId="3687"/>
    <cellStyle name="40% - Accent3 5 2 3 2 2 2" xfId="26462"/>
    <cellStyle name="40% - Accent3 5 2 3 2 3" xfId="24166"/>
    <cellStyle name="40% - Accent3 5 2 3 20" xfId="14839"/>
    <cellStyle name="40% - Accent3 5 2 3 20 2" xfId="37614"/>
    <cellStyle name="40% - Accent3 5 2 3 21" xfId="15495"/>
    <cellStyle name="40% - Accent3 5 2 3 21 2" xfId="38270"/>
    <cellStyle name="40% - Accent3 5 2 3 22" xfId="16151"/>
    <cellStyle name="40% - Accent3 5 2 3 22 2" xfId="38926"/>
    <cellStyle name="40% - Accent3 5 2 3 23" xfId="16807"/>
    <cellStyle name="40% - Accent3 5 2 3 23 2" xfId="39582"/>
    <cellStyle name="40% - Accent3 5 2 3 24" xfId="17463"/>
    <cellStyle name="40% - Accent3 5 2 3 24 2" xfId="40238"/>
    <cellStyle name="40% - Accent3 5 2 3 25" xfId="18119"/>
    <cellStyle name="40% - Accent3 5 2 3 25 2" xfId="40894"/>
    <cellStyle name="40% - Accent3 5 2 3 26" xfId="18775"/>
    <cellStyle name="40% - Accent3 5 2 3 26 2" xfId="41550"/>
    <cellStyle name="40% - Accent3 5 2 3 27" xfId="19431"/>
    <cellStyle name="40% - Accent3 5 2 3 27 2" xfId="42206"/>
    <cellStyle name="40% - Accent3 5 2 3 28" xfId="20087"/>
    <cellStyle name="40% - Accent3 5 2 3 28 2" xfId="42862"/>
    <cellStyle name="40% - Accent3 5 2 3 29" xfId="20743"/>
    <cellStyle name="40% - Accent3 5 2 3 29 2" xfId="43518"/>
    <cellStyle name="40% - Accent3 5 2 3 3" xfId="2047"/>
    <cellStyle name="40% - Accent3 5 2 3 3 2" xfId="4343"/>
    <cellStyle name="40% - Accent3 5 2 3 3 2 2" xfId="27118"/>
    <cellStyle name="40% - Accent3 5 2 3 3 3" xfId="24822"/>
    <cellStyle name="40% - Accent3 5 2 3 30" xfId="21399"/>
    <cellStyle name="40% - Accent3 5 2 3 30 2" xfId="44174"/>
    <cellStyle name="40% - Accent3 5 2 3 31" xfId="22055"/>
    <cellStyle name="40% - Accent3 5 2 3 31 2" xfId="44830"/>
    <cellStyle name="40% - Accent3 5 2 3 32" xfId="22711"/>
    <cellStyle name="40% - Accent3 5 2 3 32 2" xfId="45486"/>
    <cellStyle name="40% - Accent3 5 2 3 33" xfId="23510"/>
    <cellStyle name="40% - Accent3 5 2 3 4" xfId="4999"/>
    <cellStyle name="40% - Accent3 5 2 3 4 2" xfId="27774"/>
    <cellStyle name="40% - Accent3 5 2 3 5" xfId="5655"/>
    <cellStyle name="40% - Accent3 5 2 3 5 2" xfId="28430"/>
    <cellStyle name="40% - Accent3 5 2 3 6" xfId="6311"/>
    <cellStyle name="40% - Accent3 5 2 3 6 2" xfId="29086"/>
    <cellStyle name="40% - Accent3 5 2 3 7" xfId="3031"/>
    <cellStyle name="40% - Accent3 5 2 3 7 2" xfId="25806"/>
    <cellStyle name="40% - Accent3 5 2 3 8" xfId="6967"/>
    <cellStyle name="40% - Accent3 5 2 3 8 2" xfId="29742"/>
    <cellStyle name="40% - Accent3 5 2 3 9" xfId="7623"/>
    <cellStyle name="40% - Accent3 5 2 3 9 2" xfId="30398"/>
    <cellStyle name="40% - Accent3 5 2 30" xfId="19103"/>
    <cellStyle name="40% - Accent3 5 2 30 2" xfId="41878"/>
    <cellStyle name="40% - Accent3 5 2 31" xfId="19759"/>
    <cellStyle name="40% - Accent3 5 2 31 2" xfId="42534"/>
    <cellStyle name="40% - Accent3 5 2 32" xfId="20415"/>
    <cellStyle name="40% - Accent3 5 2 32 2" xfId="43190"/>
    <cellStyle name="40% - Accent3 5 2 33" xfId="21071"/>
    <cellStyle name="40% - Accent3 5 2 33 2" xfId="43846"/>
    <cellStyle name="40% - Accent3 5 2 34" xfId="21727"/>
    <cellStyle name="40% - Accent3 5 2 34 2" xfId="44502"/>
    <cellStyle name="40% - Accent3 5 2 35" xfId="22383"/>
    <cellStyle name="40% - Accent3 5 2 35 2" xfId="45158"/>
    <cellStyle name="40% - Accent3 5 2 36" xfId="23039"/>
    <cellStyle name="40% - Accent3 5 2 4" xfId="408"/>
    <cellStyle name="40% - Accent3 5 2 4 2" xfId="2703"/>
    <cellStyle name="40% - Accent3 5 2 4 2 2" xfId="25478"/>
    <cellStyle name="40% - Accent3 5 2 4 3" xfId="23182"/>
    <cellStyle name="40% - Accent3 5 2 5" xfId="1063"/>
    <cellStyle name="40% - Accent3 5 2 5 2" xfId="3359"/>
    <cellStyle name="40% - Accent3 5 2 5 2 2" xfId="26134"/>
    <cellStyle name="40% - Accent3 5 2 5 3" xfId="23838"/>
    <cellStyle name="40% - Accent3 5 2 6" xfId="1719"/>
    <cellStyle name="40% - Accent3 5 2 6 2" xfId="4015"/>
    <cellStyle name="40% - Accent3 5 2 6 2 2" xfId="26790"/>
    <cellStyle name="40% - Accent3 5 2 6 3" xfId="24494"/>
    <cellStyle name="40% - Accent3 5 2 7" xfId="4671"/>
    <cellStyle name="40% - Accent3 5 2 7 2" xfId="27446"/>
    <cellStyle name="40% - Accent3 5 2 8" xfId="5327"/>
    <cellStyle name="40% - Accent3 5 2 8 2" xfId="28102"/>
    <cellStyle name="40% - Accent3 5 2 9" xfId="5983"/>
    <cellStyle name="40% - Accent3 5 2 9 2" xfId="28758"/>
    <cellStyle name="40% - Accent3 5 20" xfId="11816"/>
    <cellStyle name="40% - Accent3 5 20 2" xfId="34591"/>
    <cellStyle name="40% - Accent3 5 21" xfId="12472"/>
    <cellStyle name="40% - Accent3 5 21 2" xfId="35247"/>
    <cellStyle name="40% - Accent3 5 22" xfId="13128"/>
    <cellStyle name="40% - Accent3 5 22 2" xfId="35903"/>
    <cellStyle name="40% - Accent3 5 23" xfId="13784"/>
    <cellStyle name="40% - Accent3 5 23 2" xfId="36559"/>
    <cellStyle name="40% - Accent3 5 24" xfId="14440"/>
    <cellStyle name="40% - Accent3 5 24 2" xfId="37215"/>
    <cellStyle name="40% - Accent3 5 25" xfId="15096"/>
    <cellStyle name="40% - Accent3 5 25 2" xfId="37871"/>
    <cellStyle name="40% - Accent3 5 26" xfId="15752"/>
    <cellStyle name="40% - Accent3 5 26 2" xfId="38527"/>
    <cellStyle name="40% - Accent3 5 27" xfId="16408"/>
    <cellStyle name="40% - Accent3 5 27 2" xfId="39183"/>
    <cellStyle name="40% - Accent3 5 28" xfId="17064"/>
    <cellStyle name="40% - Accent3 5 28 2" xfId="39839"/>
    <cellStyle name="40% - Accent3 5 29" xfId="17720"/>
    <cellStyle name="40% - Accent3 5 29 2" xfId="40495"/>
    <cellStyle name="40% - Accent3 5 3" xfId="521"/>
    <cellStyle name="40% - Accent3 5 3 10" xfId="6753"/>
    <cellStyle name="40% - Accent3 5 3 10 2" xfId="29528"/>
    <cellStyle name="40% - Accent3 5 3 11" xfId="7409"/>
    <cellStyle name="40% - Accent3 5 3 11 2" xfId="30184"/>
    <cellStyle name="40% - Accent3 5 3 12" xfId="8065"/>
    <cellStyle name="40% - Accent3 5 3 12 2" xfId="30840"/>
    <cellStyle name="40% - Accent3 5 3 13" xfId="8721"/>
    <cellStyle name="40% - Accent3 5 3 13 2" xfId="31496"/>
    <cellStyle name="40% - Accent3 5 3 14" xfId="9377"/>
    <cellStyle name="40% - Accent3 5 3 14 2" xfId="32152"/>
    <cellStyle name="40% - Accent3 5 3 15" xfId="10033"/>
    <cellStyle name="40% - Accent3 5 3 15 2" xfId="32808"/>
    <cellStyle name="40% - Accent3 5 3 16" xfId="10689"/>
    <cellStyle name="40% - Accent3 5 3 16 2" xfId="33464"/>
    <cellStyle name="40% - Accent3 5 3 17" xfId="11345"/>
    <cellStyle name="40% - Accent3 5 3 17 2" xfId="34120"/>
    <cellStyle name="40% - Accent3 5 3 18" xfId="12001"/>
    <cellStyle name="40% - Accent3 5 3 18 2" xfId="34776"/>
    <cellStyle name="40% - Accent3 5 3 19" xfId="12657"/>
    <cellStyle name="40% - Accent3 5 3 19 2" xfId="35432"/>
    <cellStyle name="40% - Accent3 5 3 2" xfId="849"/>
    <cellStyle name="40% - Accent3 5 3 2 10" xfId="8393"/>
    <cellStyle name="40% - Accent3 5 3 2 10 2" xfId="31168"/>
    <cellStyle name="40% - Accent3 5 3 2 11" xfId="9049"/>
    <cellStyle name="40% - Accent3 5 3 2 11 2" xfId="31824"/>
    <cellStyle name="40% - Accent3 5 3 2 12" xfId="9705"/>
    <cellStyle name="40% - Accent3 5 3 2 12 2" xfId="32480"/>
    <cellStyle name="40% - Accent3 5 3 2 13" xfId="10361"/>
    <cellStyle name="40% - Accent3 5 3 2 13 2" xfId="33136"/>
    <cellStyle name="40% - Accent3 5 3 2 14" xfId="11017"/>
    <cellStyle name="40% - Accent3 5 3 2 14 2" xfId="33792"/>
    <cellStyle name="40% - Accent3 5 3 2 15" xfId="11673"/>
    <cellStyle name="40% - Accent3 5 3 2 15 2" xfId="34448"/>
    <cellStyle name="40% - Accent3 5 3 2 16" xfId="12329"/>
    <cellStyle name="40% - Accent3 5 3 2 16 2" xfId="35104"/>
    <cellStyle name="40% - Accent3 5 3 2 17" xfId="12985"/>
    <cellStyle name="40% - Accent3 5 3 2 17 2" xfId="35760"/>
    <cellStyle name="40% - Accent3 5 3 2 18" xfId="13641"/>
    <cellStyle name="40% - Accent3 5 3 2 18 2" xfId="36416"/>
    <cellStyle name="40% - Accent3 5 3 2 19" xfId="14297"/>
    <cellStyle name="40% - Accent3 5 3 2 19 2" xfId="37072"/>
    <cellStyle name="40% - Accent3 5 3 2 2" xfId="1505"/>
    <cellStyle name="40% - Accent3 5 3 2 2 2" xfId="3801"/>
    <cellStyle name="40% - Accent3 5 3 2 2 2 2" xfId="26576"/>
    <cellStyle name="40% - Accent3 5 3 2 2 3" xfId="24280"/>
    <cellStyle name="40% - Accent3 5 3 2 20" xfId="14953"/>
    <cellStyle name="40% - Accent3 5 3 2 20 2" xfId="37728"/>
    <cellStyle name="40% - Accent3 5 3 2 21" xfId="15609"/>
    <cellStyle name="40% - Accent3 5 3 2 21 2" xfId="38384"/>
    <cellStyle name="40% - Accent3 5 3 2 22" xfId="16265"/>
    <cellStyle name="40% - Accent3 5 3 2 22 2" xfId="39040"/>
    <cellStyle name="40% - Accent3 5 3 2 23" xfId="16921"/>
    <cellStyle name="40% - Accent3 5 3 2 23 2" xfId="39696"/>
    <cellStyle name="40% - Accent3 5 3 2 24" xfId="17577"/>
    <cellStyle name="40% - Accent3 5 3 2 24 2" xfId="40352"/>
    <cellStyle name="40% - Accent3 5 3 2 25" xfId="18233"/>
    <cellStyle name="40% - Accent3 5 3 2 25 2" xfId="41008"/>
    <cellStyle name="40% - Accent3 5 3 2 26" xfId="18889"/>
    <cellStyle name="40% - Accent3 5 3 2 26 2" xfId="41664"/>
    <cellStyle name="40% - Accent3 5 3 2 27" xfId="19545"/>
    <cellStyle name="40% - Accent3 5 3 2 27 2" xfId="42320"/>
    <cellStyle name="40% - Accent3 5 3 2 28" xfId="20201"/>
    <cellStyle name="40% - Accent3 5 3 2 28 2" xfId="42976"/>
    <cellStyle name="40% - Accent3 5 3 2 29" xfId="20857"/>
    <cellStyle name="40% - Accent3 5 3 2 29 2" xfId="43632"/>
    <cellStyle name="40% - Accent3 5 3 2 3" xfId="2161"/>
    <cellStyle name="40% - Accent3 5 3 2 3 2" xfId="4457"/>
    <cellStyle name="40% - Accent3 5 3 2 3 2 2" xfId="27232"/>
    <cellStyle name="40% - Accent3 5 3 2 3 3" xfId="24936"/>
    <cellStyle name="40% - Accent3 5 3 2 30" xfId="21513"/>
    <cellStyle name="40% - Accent3 5 3 2 30 2" xfId="44288"/>
    <cellStyle name="40% - Accent3 5 3 2 31" xfId="22169"/>
    <cellStyle name="40% - Accent3 5 3 2 31 2" xfId="44944"/>
    <cellStyle name="40% - Accent3 5 3 2 32" xfId="22825"/>
    <cellStyle name="40% - Accent3 5 3 2 32 2" xfId="45600"/>
    <cellStyle name="40% - Accent3 5 3 2 33" xfId="23624"/>
    <cellStyle name="40% - Accent3 5 3 2 4" xfId="5113"/>
    <cellStyle name="40% - Accent3 5 3 2 4 2" xfId="27888"/>
    <cellStyle name="40% - Accent3 5 3 2 5" xfId="5769"/>
    <cellStyle name="40% - Accent3 5 3 2 5 2" xfId="28544"/>
    <cellStyle name="40% - Accent3 5 3 2 6" xfId="6425"/>
    <cellStyle name="40% - Accent3 5 3 2 6 2" xfId="29200"/>
    <cellStyle name="40% - Accent3 5 3 2 7" xfId="3145"/>
    <cellStyle name="40% - Accent3 5 3 2 7 2" xfId="25920"/>
    <cellStyle name="40% - Accent3 5 3 2 8" xfId="7081"/>
    <cellStyle name="40% - Accent3 5 3 2 8 2" xfId="29856"/>
    <cellStyle name="40% - Accent3 5 3 2 9" xfId="7737"/>
    <cellStyle name="40% - Accent3 5 3 2 9 2" xfId="30512"/>
    <cellStyle name="40% - Accent3 5 3 20" xfId="13313"/>
    <cellStyle name="40% - Accent3 5 3 20 2" xfId="36088"/>
    <cellStyle name="40% - Accent3 5 3 21" xfId="13969"/>
    <cellStyle name="40% - Accent3 5 3 21 2" xfId="36744"/>
    <cellStyle name="40% - Accent3 5 3 22" xfId="14625"/>
    <cellStyle name="40% - Accent3 5 3 22 2" xfId="37400"/>
    <cellStyle name="40% - Accent3 5 3 23" xfId="15281"/>
    <cellStyle name="40% - Accent3 5 3 23 2" xfId="38056"/>
    <cellStyle name="40% - Accent3 5 3 24" xfId="15937"/>
    <cellStyle name="40% - Accent3 5 3 24 2" xfId="38712"/>
    <cellStyle name="40% - Accent3 5 3 25" xfId="16593"/>
    <cellStyle name="40% - Accent3 5 3 25 2" xfId="39368"/>
    <cellStyle name="40% - Accent3 5 3 26" xfId="17249"/>
    <cellStyle name="40% - Accent3 5 3 26 2" xfId="40024"/>
    <cellStyle name="40% - Accent3 5 3 27" xfId="17905"/>
    <cellStyle name="40% - Accent3 5 3 27 2" xfId="40680"/>
    <cellStyle name="40% - Accent3 5 3 28" xfId="18561"/>
    <cellStyle name="40% - Accent3 5 3 28 2" xfId="41336"/>
    <cellStyle name="40% - Accent3 5 3 29" xfId="19217"/>
    <cellStyle name="40% - Accent3 5 3 29 2" xfId="41992"/>
    <cellStyle name="40% - Accent3 5 3 3" xfId="1177"/>
    <cellStyle name="40% - Accent3 5 3 3 2" xfId="2817"/>
    <cellStyle name="40% - Accent3 5 3 3 2 2" xfId="25592"/>
    <cellStyle name="40% - Accent3 5 3 3 3" xfId="23952"/>
    <cellStyle name="40% - Accent3 5 3 30" xfId="19873"/>
    <cellStyle name="40% - Accent3 5 3 30 2" xfId="42648"/>
    <cellStyle name="40% - Accent3 5 3 31" xfId="20529"/>
    <cellStyle name="40% - Accent3 5 3 31 2" xfId="43304"/>
    <cellStyle name="40% - Accent3 5 3 32" xfId="21185"/>
    <cellStyle name="40% - Accent3 5 3 32 2" xfId="43960"/>
    <cellStyle name="40% - Accent3 5 3 33" xfId="21841"/>
    <cellStyle name="40% - Accent3 5 3 33 2" xfId="44616"/>
    <cellStyle name="40% - Accent3 5 3 34" xfId="22497"/>
    <cellStyle name="40% - Accent3 5 3 34 2" xfId="45272"/>
    <cellStyle name="40% - Accent3 5 3 35" xfId="23296"/>
    <cellStyle name="40% - Accent3 5 3 4" xfId="1833"/>
    <cellStyle name="40% - Accent3 5 3 4 2" xfId="3473"/>
    <cellStyle name="40% - Accent3 5 3 4 2 2" xfId="26248"/>
    <cellStyle name="40% - Accent3 5 3 4 3" xfId="24608"/>
    <cellStyle name="40% - Accent3 5 3 5" xfId="4129"/>
    <cellStyle name="40% - Accent3 5 3 5 2" xfId="26904"/>
    <cellStyle name="40% - Accent3 5 3 6" xfId="4785"/>
    <cellStyle name="40% - Accent3 5 3 6 2" xfId="27560"/>
    <cellStyle name="40% - Accent3 5 3 7" xfId="5441"/>
    <cellStyle name="40% - Accent3 5 3 7 2" xfId="28216"/>
    <cellStyle name="40% - Accent3 5 3 8" xfId="6097"/>
    <cellStyle name="40% - Accent3 5 3 8 2" xfId="28872"/>
    <cellStyle name="40% - Accent3 5 3 9" xfId="2489"/>
    <cellStyle name="40% - Accent3 5 3 9 2" xfId="25264"/>
    <cellStyle name="40% - Accent3 5 30" xfId="18376"/>
    <cellStyle name="40% - Accent3 5 30 2" xfId="41151"/>
    <cellStyle name="40% - Accent3 5 31" xfId="19032"/>
    <cellStyle name="40% - Accent3 5 31 2" xfId="41807"/>
    <cellStyle name="40% - Accent3 5 32" xfId="19688"/>
    <cellStyle name="40% - Accent3 5 32 2" xfId="42463"/>
    <cellStyle name="40% - Accent3 5 33" xfId="20344"/>
    <cellStyle name="40% - Accent3 5 33 2" xfId="43119"/>
    <cellStyle name="40% - Accent3 5 34" xfId="21000"/>
    <cellStyle name="40% - Accent3 5 34 2" xfId="43775"/>
    <cellStyle name="40% - Accent3 5 35" xfId="21656"/>
    <cellStyle name="40% - Accent3 5 35 2" xfId="44431"/>
    <cellStyle name="40% - Accent3 5 36" xfId="22312"/>
    <cellStyle name="40% - Accent3 5 36 2" xfId="45087"/>
    <cellStyle name="40% - Accent3 5 37" xfId="251"/>
    <cellStyle name="40% - Accent3 5 38" xfId="22968"/>
    <cellStyle name="40% - Accent3 5 4" xfId="664"/>
    <cellStyle name="40% - Accent3 5 4 10" xfId="8208"/>
    <cellStyle name="40% - Accent3 5 4 10 2" xfId="30983"/>
    <cellStyle name="40% - Accent3 5 4 11" xfId="8864"/>
    <cellStyle name="40% - Accent3 5 4 11 2" xfId="31639"/>
    <cellStyle name="40% - Accent3 5 4 12" xfId="9520"/>
    <cellStyle name="40% - Accent3 5 4 12 2" xfId="32295"/>
    <cellStyle name="40% - Accent3 5 4 13" xfId="10176"/>
    <cellStyle name="40% - Accent3 5 4 13 2" xfId="32951"/>
    <cellStyle name="40% - Accent3 5 4 14" xfId="10832"/>
    <cellStyle name="40% - Accent3 5 4 14 2" xfId="33607"/>
    <cellStyle name="40% - Accent3 5 4 15" xfId="11488"/>
    <cellStyle name="40% - Accent3 5 4 15 2" xfId="34263"/>
    <cellStyle name="40% - Accent3 5 4 16" xfId="12144"/>
    <cellStyle name="40% - Accent3 5 4 16 2" xfId="34919"/>
    <cellStyle name="40% - Accent3 5 4 17" xfId="12800"/>
    <cellStyle name="40% - Accent3 5 4 17 2" xfId="35575"/>
    <cellStyle name="40% - Accent3 5 4 18" xfId="13456"/>
    <cellStyle name="40% - Accent3 5 4 18 2" xfId="36231"/>
    <cellStyle name="40% - Accent3 5 4 19" xfId="14112"/>
    <cellStyle name="40% - Accent3 5 4 19 2" xfId="36887"/>
    <cellStyle name="40% - Accent3 5 4 2" xfId="1320"/>
    <cellStyle name="40% - Accent3 5 4 2 2" xfId="3616"/>
    <cellStyle name="40% - Accent3 5 4 2 2 2" xfId="26391"/>
    <cellStyle name="40% - Accent3 5 4 2 3" xfId="24095"/>
    <cellStyle name="40% - Accent3 5 4 20" xfId="14768"/>
    <cellStyle name="40% - Accent3 5 4 20 2" xfId="37543"/>
    <cellStyle name="40% - Accent3 5 4 21" xfId="15424"/>
    <cellStyle name="40% - Accent3 5 4 21 2" xfId="38199"/>
    <cellStyle name="40% - Accent3 5 4 22" xfId="16080"/>
    <cellStyle name="40% - Accent3 5 4 22 2" xfId="38855"/>
    <cellStyle name="40% - Accent3 5 4 23" xfId="16736"/>
    <cellStyle name="40% - Accent3 5 4 23 2" xfId="39511"/>
    <cellStyle name="40% - Accent3 5 4 24" xfId="17392"/>
    <cellStyle name="40% - Accent3 5 4 24 2" xfId="40167"/>
    <cellStyle name="40% - Accent3 5 4 25" xfId="18048"/>
    <cellStyle name="40% - Accent3 5 4 25 2" xfId="40823"/>
    <cellStyle name="40% - Accent3 5 4 26" xfId="18704"/>
    <cellStyle name="40% - Accent3 5 4 26 2" xfId="41479"/>
    <cellStyle name="40% - Accent3 5 4 27" xfId="19360"/>
    <cellStyle name="40% - Accent3 5 4 27 2" xfId="42135"/>
    <cellStyle name="40% - Accent3 5 4 28" xfId="20016"/>
    <cellStyle name="40% - Accent3 5 4 28 2" xfId="42791"/>
    <cellStyle name="40% - Accent3 5 4 29" xfId="20672"/>
    <cellStyle name="40% - Accent3 5 4 29 2" xfId="43447"/>
    <cellStyle name="40% - Accent3 5 4 3" xfId="1976"/>
    <cellStyle name="40% - Accent3 5 4 3 2" xfId="4272"/>
    <cellStyle name="40% - Accent3 5 4 3 2 2" xfId="27047"/>
    <cellStyle name="40% - Accent3 5 4 3 3" xfId="24751"/>
    <cellStyle name="40% - Accent3 5 4 30" xfId="21328"/>
    <cellStyle name="40% - Accent3 5 4 30 2" xfId="44103"/>
    <cellStyle name="40% - Accent3 5 4 31" xfId="21984"/>
    <cellStyle name="40% - Accent3 5 4 31 2" xfId="44759"/>
    <cellStyle name="40% - Accent3 5 4 32" xfId="22640"/>
    <cellStyle name="40% - Accent3 5 4 32 2" xfId="45415"/>
    <cellStyle name="40% - Accent3 5 4 33" xfId="23439"/>
    <cellStyle name="40% - Accent3 5 4 4" xfId="4928"/>
    <cellStyle name="40% - Accent3 5 4 4 2" xfId="27703"/>
    <cellStyle name="40% - Accent3 5 4 5" xfId="5584"/>
    <cellStyle name="40% - Accent3 5 4 5 2" xfId="28359"/>
    <cellStyle name="40% - Accent3 5 4 6" xfId="6240"/>
    <cellStyle name="40% - Accent3 5 4 6 2" xfId="29015"/>
    <cellStyle name="40% - Accent3 5 4 7" xfId="2960"/>
    <cellStyle name="40% - Accent3 5 4 7 2" xfId="25735"/>
    <cellStyle name="40% - Accent3 5 4 8" xfId="6896"/>
    <cellStyle name="40% - Accent3 5 4 8 2" xfId="29671"/>
    <cellStyle name="40% - Accent3 5 4 9" xfId="7552"/>
    <cellStyle name="40% - Accent3 5 4 9 2" xfId="30327"/>
    <cellStyle name="40% - Accent3 5 5" xfId="337"/>
    <cellStyle name="40% - Accent3 5 5 2" xfId="2632"/>
    <cellStyle name="40% - Accent3 5 5 2 2" xfId="25407"/>
    <cellStyle name="40% - Accent3 5 5 3" xfId="23111"/>
    <cellStyle name="40% - Accent3 5 6" xfId="992"/>
    <cellStyle name="40% - Accent3 5 6 2" xfId="3288"/>
    <cellStyle name="40% - Accent3 5 6 2 2" xfId="26063"/>
    <cellStyle name="40% - Accent3 5 6 3" xfId="23767"/>
    <cellStyle name="40% - Accent3 5 7" xfId="1648"/>
    <cellStyle name="40% - Accent3 5 7 2" xfId="3944"/>
    <cellStyle name="40% - Accent3 5 7 2 2" xfId="26719"/>
    <cellStyle name="40% - Accent3 5 7 3" xfId="24423"/>
    <cellStyle name="40% - Accent3 5 8" xfId="4600"/>
    <cellStyle name="40% - Accent3 5 8 2" xfId="27375"/>
    <cellStyle name="40% - Accent3 5 9" xfId="5256"/>
    <cellStyle name="40% - Accent3 5 9 2" xfId="28031"/>
    <cellStyle name="40% - Accent3 6" xfId="119"/>
    <cellStyle name="40% - Accent3 6 10" xfId="2317"/>
    <cellStyle name="40% - Accent3 6 10 2" xfId="25092"/>
    <cellStyle name="40% - Accent3 6 11" xfId="6581"/>
    <cellStyle name="40% - Accent3 6 11 2" xfId="29356"/>
    <cellStyle name="40% - Accent3 6 12" xfId="7237"/>
    <cellStyle name="40% - Accent3 6 12 2" xfId="30012"/>
    <cellStyle name="40% - Accent3 6 13" xfId="7893"/>
    <cellStyle name="40% - Accent3 6 13 2" xfId="30668"/>
    <cellStyle name="40% - Accent3 6 14" xfId="8549"/>
    <cellStyle name="40% - Accent3 6 14 2" xfId="31324"/>
    <cellStyle name="40% - Accent3 6 15" xfId="9205"/>
    <cellStyle name="40% - Accent3 6 15 2" xfId="31980"/>
    <cellStyle name="40% - Accent3 6 16" xfId="9861"/>
    <cellStyle name="40% - Accent3 6 16 2" xfId="32636"/>
    <cellStyle name="40% - Accent3 6 17" xfId="10517"/>
    <cellStyle name="40% - Accent3 6 17 2" xfId="33292"/>
    <cellStyle name="40% - Accent3 6 18" xfId="11173"/>
    <cellStyle name="40% - Accent3 6 18 2" xfId="33948"/>
    <cellStyle name="40% - Accent3 6 19" xfId="11829"/>
    <cellStyle name="40% - Accent3 6 19 2" xfId="34604"/>
    <cellStyle name="40% - Accent3 6 2" xfId="533"/>
    <cellStyle name="40% - Accent3 6 2 10" xfId="6766"/>
    <cellStyle name="40% - Accent3 6 2 10 2" xfId="29541"/>
    <cellStyle name="40% - Accent3 6 2 11" xfId="7422"/>
    <cellStyle name="40% - Accent3 6 2 11 2" xfId="30197"/>
    <cellStyle name="40% - Accent3 6 2 12" xfId="8078"/>
    <cellStyle name="40% - Accent3 6 2 12 2" xfId="30853"/>
    <cellStyle name="40% - Accent3 6 2 13" xfId="8734"/>
    <cellStyle name="40% - Accent3 6 2 13 2" xfId="31509"/>
    <cellStyle name="40% - Accent3 6 2 14" xfId="9390"/>
    <cellStyle name="40% - Accent3 6 2 14 2" xfId="32165"/>
    <cellStyle name="40% - Accent3 6 2 15" xfId="10046"/>
    <cellStyle name="40% - Accent3 6 2 15 2" xfId="32821"/>
    <cellStyle name="40% - Accent3 6 2 16" xfId="10702"/>
    <cellStyle name="40% - Accent3 6 2 16 2" xfId="33477"/>
    <cellStyle name="40% - Accent3 6 2 17" xfId="11358"/>
    <cellStyle name="40% - Accent3 6 2 17 2" xfId="34133"/>
    <cellStyle name="40% - Accent3 6 2 18" xfId="12014"/>
    <cellStyle name="40% - Accent3 6 2 18 2" xfId="34789"/>
    <cellStyle name="40% - Accent3 6 2 19" xfId="12670"/>
    <cellStyle name="40% - Accent3 6 2 19 2" xfId="35445"/>
    <cellStyle name="40% - Accent3 6 2 2" xfId="862"/>
    <cellStyle name="40% - Accent3 6 2 2 10" xfId="8406"/>
    <cellStyle name="40% - Accent3 6 2 2 10 2" xfId="31181"/>
    <cellStyle name="40% - Accent3 6 2 2 11" xfId="9062"/>
    <cellStyle name="40% - Accent3 6 2 2 11 2" xfId="31837"/>
    <cellStyle name="40% - Accent3 6 2 2 12" xfId="9718"/>
    <cellStyle name="40% - Accent3 6 2 2 12 2" xfId="32493"/>
    <cellStyle name="40% - Accent3 6 2 2 13" xfId="10374"/>
    <cellStyle name="40% - Accent3 6 2 2 13 2" xfId="33149"/>
    <cellStyle name="40% - Accent3 6 2 2 14" xfId="11030"/>
    <cellStyle name="40% - Accent3 6 2 2 14 2" xfId="33805"/>
    <cellStyle name="40% - Accent3 6 2 2 15" xfId="11686"/>
    <cellStyle name="40% - Accent3 6 2 2 15 2" xfId="34461"/>
    <cellStyle name="40% - Accent3 6 2 2 16" xfId="12342"/>
    <cellStyle name="40% - Accent3 6 2 2 16 2" xfId="35117"/>
    <cellStyle name="40% - Accent3 6 2 2 17" xfId="12998"/>
    <cellStyle name="40% - Accent3 6 2 2 17 2" xfId="35773"/>
    <cellStyle name="40% - Accent3 6 2 2 18" xfId="13654"/>
    <cellStyle name="40% - Accent3 6 2 2 18 2" xfId="36429"/>
    <cellStyle name="40% - Accent3 6 2 2 19" xfId="14310"/>
    <cellStyle name="40% - Accent3 6 2 2 19 2" xfId="37085"/>
    <cellStyle name="40% - Accent3 6 2 2 2" xfId="1518"/>
    <cellStyle name="40% - Accent3 6 2 2 2 2" xfId="3814"/>
    <cellStyle name="40% - Accent3 6 2 2 2 2 2" xfId="26589"/>
    <cellStyle name="40% - Accent3 6 2 2 2 3" xfId="24293"/>
    <cellStyle name="40% - Accent3 6 2 2 20" xfId="14966"/>
    <cellStyle name="40% - Accent3 6 2 2 20 2" xfId="37741"/>
    <cellStyle name="40% - Accent3 6 2 2 21" xfId="15622"/>
    <cellStyle name="40% - Accent3 6 2 2 21 2" xfId="38397"/>
    <cellStyle name="40% - Accent3 6 2 2 22" xfId="16278"/>
    <cellStyle name="40% - Accent3 6 2 2 22 2" xfId="39053"/>
    <cellStyle name="40% - Accent3 6 2 2 23" xfId="16934"/>
    <cellStyle name="40% - Accent3 6 2 2 23 2" xfId="39709"/>
    <cellStyle name="40% - Accent3 6 2 2 24" xfId="17590"/>
    <cellStyle name="40% - Accent3 6 2 2 24 2" xfId="40365"/>
    <cellStyle name="40% - Accent3 6 2 2 25" xfId="18246"/>
    <cellStyle name="40% - Accent3 6 2 2 25 2" xfId="41021"/>
    <cellStyle name="40% - Accent3 6 2 2 26" xfId="18902"/>
    <cellStyle name="40% - Accent3 6 2 2 26 2" xfId="41677"/>
    <cellStyle name="40% - Accent3 6 2 2 27" xfId="19558"/>
    <cellStyle name="40% - Accent3 6 2 2 27 2" xfId="42333"/>
    <cellStyle name="40% - Accent3 6 2 2 28" xfId="20214"/>
    <cellStyle name="40% - Accent3 6 2 2 28 2" xfId="42989"/>
    <cellStyle name="40% - Accent3 6 2 2 29" xfId="20870"/>
    <cellStyle name="40% - Accent3 6 2 2 29 2" xfId="43645"/>
    <cellStyle name="40% - Accent3 6 2 2 3" xfId="2174"/>
    <cellStyle name="40% - Accent3 6 2 2 3 2" xfId="4470"/>
    <cellStyle name="40% - Accent3 6 2 2 3 2 2" xfId="27245"/>
    <cellStyle name="40% - Accent3 6 2 2 3 3" xfId="24949"/>
    <cellStyle name="40% - Accent3 6 2 2 30" xfId="21526"/>
    <cellStyle name="40% - Accent3 6 2 2 30 2" xfId="44301"/>
    <cellStyle name="40% - Accent3 6 2 2 31" xfId="22182"/>
    <cellStyle name="40% - Accent3 6 2 2 31 2" xfId="44957"/>
    <cellStyle name="40% - Accent3 6 2 2 32" xfId="22838"/>
    <cellStyle name="40% - Accent3 6 2 2 32 2" xfId="45613"/>
    <cellStyle name="40% - Accent3 6 2 2 33" xfId="23637"/>
    <cellStyle name="40% - Accent3 6 2 2 4" xfId="5126"/>
    <cellStyle name="40% - Accent3 6 2 2 4 2" xfId="27901"/>
    <cellStyle name="40% - Accent3 6 2 2 5" xfId="5782"/>
    <cellStyle name="40% - Accent3 6 2 2 5 2" xfId="28557"/>
    <cellStyle name="40% - Accent3 6 2 2 6" xfId="6438"/>
    <cellStyle name="40% - Accent3 6 2 2 6 2" xfId="29213"/>
    <cellStyle name="40% - Accent3 6 2 2 7" xfId="3158"/>
    <cellStyle name="40% - Accent3 6 2 2 7 2" xfId="25933"/>
    <cellStyle name="40% - Accent3 6 2 2 8" xfId="7094"/>
    <cellStyle name="40% - Accent3 6 2 2 8 2" xfId="29869"/>
    <cellStyle name="40% - Accent3 6 2 2 9" xfId="7750"/>
    <cellStyle name="40% - Accent3 6 2 2 9 2" xfId="30525"/>
    <cellStyle name="40% - Accent3 6 2 20" xfId="13326"/>
    <cellStyle name="40% - Accent3 6 2 20 2" xfId="36101"/>
    <cellStyle name="40% - Accent3 6 2 21" xfId="13982"/>
    <cellStyle name="40% - Accent3 6 2 21 2" xfId="36757"/>
    <cellStyle name="40% - Accent3 6 2 22" xfId="14638"/>
    <cellStyle name="40% - Accent3 6 2 22 2" xfId="37413"/>
    <cellStyle name="40% - Accent3 6 2 23" xfId="15294"/>
    <cellStyle name="40% - Accent3 6 2 23 2" xfId="38069"/>
    <cellStyle name="40% - Accent3 6 2 24" xfId="15950"/>
    <cellStyle name="40% - Accent3 6 2 24 2" xfId="38725"/>
    <cellStyle name="40% - Accent3 6 2 25" xfId="16606"/>
    <cellStyle name="40% - Accent3 6 2 25 2" xfId="39381"/>
    <cellStyle name="40% - Accent3 6 2 26" xfId="17262"/>
    <cellStyle name="40% - Accent3 6 2 26 2" xfId="40037"/>
    <cellStyle name="40% - Accent3 6 2 27" xfId="17918"/>
    <cellStyle name="40% - Accent3 6 2 27 2" xfId="40693"/>
    <cellStyle name="40% - Accent3 6 2 28" xfId="18574"/>
    <cellStyle name="40% - Accent3 6 2 28 2" xfId="41349"/>
    <cellStyle name="40% - Accent3 6 2 29" xfId="19230"/>
    <cellStyle name="40% - Accent3 6 2 29 2" xfId="42005"/>
    <cellStyle name="40% - Accent3 6 2 3" xfId="1190"/>
    <cellStyle name="40% - Accent3 6 2 3 2" xfId="2830"/>
    <cellStyle name="40% - Accent3 6 2 3 2 2" xfId="25605"/>
    <cellStyle name="40% - Accent3 6 2 3 3" xfId="23965"/>
    <cellStyle name="40% - Accent3 6 2 30" xfId="19886"/>
    <cellStyle name="40% - Accent3 6 2 30 2" xfId="42661"/>
    <cellStyle name="40% - Accent3 6 2 31" xfId="20542"/>
    <cellStyle name="40% - Accent3 6 2 31 2" xfId="43317"/>
    <cellStyle name="40% - Accent3 6 2 32" xfId="21198"/>
    <cellStyle name="40% - Accent3 6 2 32 2" xfId="43973"/>
    <cellStyle name="40% - Accent3 6 2 33" xfId="21854"/>
    <cellStyle name="40% - Accent3 6 2 33 2" xfId="44629"/>
    <cellStyle name="40% - Accent3 6 2 34" xfId="22510"/>
    <cellStyle name="40% - Accent3 6 2 34 2" xfId="45285"/>
    <cellStyle name="40% - Accent3 6 2 35" xfId="23309"/>
    <cellStyle name="40% - Accent3 6 2 4" xfId="1846"/>
    <cellStyle name="40% - Accent3 6 2 4 2" xfId="3486"/>
    <cellStyle name="40% - Accent3 6 2 4 2 2" xfId="26261"/>
    <cellStyle name="40% - Accent3 6 2 4 3" xfId="24621"/>
    <cellStyle name="40% - Accent3 6 2 5" xfId="4142"/>
    <cellStyle name="40% - Accent3 6 2 5 2" xfId="26917"/>
    <cellStyle name="40% - Accent3 6 2 6" xfId="4798"/>
    <cellStyle name="40% - Accent3 6 2 6 2" xfId="27573"/>
    <cellStyle name="40% - Accent3 6 2 7" xfId="5454"/>
    <cellStyle name="40% - Accent3 6 2 7 2" xfId="28229"/>
    <cellStyle name="40% - Accent3 6 2 8" xfId="6110"/>
    <cellStyle name="40% - Accent3 6 2 8 2" xfId="28885"/>
    <cellStyle name="40% - Accent3 6 2 9" xfId="2502"/>
    <cellStyle name="40% - Accent3 6 2 9 2" xfId="25277"/>
    <cellStyle name="40% - Accent3 6 20" xfId="12485"/>
    <cellStyle name="40% - Accent3 6 20 2" xfId="35260"/>
    <cellStyle name="40% - Accent3 6 21" xfId="13141"/>
    <cellStyle name="40% - Accent3 6 21 2" xfId="35916"/>
    <cellStyle name="40% - Accent3 6 22" xfId="13797"/>
    <cellStyle name="40% - Accent3 6 22 2" xfId="36572"/>
    <cellStyle name="40% - Accent3 6 23" xfId="14453"/>
    <cellStyle name="40% - Accent3 6 23 2" xfId="37228"/>
    <cellStyle name="40% - Accent3 6 24" xfId="15109"/>
    <cellStyle name="40% - Accent3 6 24 2" xfId="37884"/>
    <cellStyle name="40% - Accent3 6 25" xfId="15765"/>
    <cellStyle name="40% - Accent3 6 25 2" xfId="38540"/>
    <cellStyle name="40% - Accent3 6 26" xfId="16421"/>
    <cellStyle name="40% - Accent3 6 26 2" xfId="39196"/>
    <cellStyle name="40% - Accent3 6 27" xfId="17077"/>
    <cellStyle name="40% - Accent3 6 27 2" xfId="39852"/>
    <cellStyle name="40% - Accent3 6 28" xfId="17733"/>
    <cellStyle name="40% - Accent3 6 28 2" xfId="40508"/>
    <cellStyle name="40% - Accent3 6 29" xfId="18389"/>
    <cellStyle name="40% - Accent3 6 29 2" xfId="41164"/>
    <cellStyle name="40% - Accent3 6 3" xfId="677"/>
    <cellStyle name="40% - Accent3 6 3 10" xfId="8221"/>
    <cellStyle name="40% - Accent3 6 3 10 2" xfId="30996"/>
    <cellStyle name="40% - Accent3 6 3 11" xfId="8877"/>
    <cellStyle name="40% - Accent3 6 3 11 2" xfId="31652"/>
    <cellStyle name="40% - Accent3 6 3 12" xfId="9533"/>
    <cellStyle name="40% - Accent3 6 3 12 2" xfId="32308"/>
    <cellStyle name="40% - Accent3 6 3 13" xfId="10189"/>
    <cellStyle name="40% - Accent3 6 3 13 2" xfId="32964"/>
    <cellStyle name="40% - Accent3 6 3 14" xfId="10845"/>
    <cellStyle name="40% - Accent3 6 3 14 2" xfId="33620"/>
    <cellStyle name="40% - Accent3 6 3 15" xfId="11501"/>
    <cellStyle name="40% - Accent3 6 3 15 2" xfId="34276"/>
    <cellStyle name="40% - Accent3 6 3 16" xfId="12157"/>
    <cellStyle name="40% - Accent3 6 3 16 2" xfId="34932"/>
    <cellStyle name="40% - Accent3 6 3 17" xfId="12813"/>
    <cellStyle name="40% - Accent3 6 3 17 2" xfId="35588"/>
    <cellStyle name="40% - Accent3 6 3 18" xfId="13469"/>
    <cellStyle name="40% - Accent3 6 3 18 2" xfId="36244"/>
    <cellStyle name="40% - Accent3 6 3 19" xfId="14125"/>
    <cellStyle name="40% - Accent3 6 3 19 2" xfId="36900"/>
    <cellStyle name="40% - Accent3 6 3 2" xfId="1333"/>
    <cellStyle name="40% - Accent3 6 3 2 2" xfId="3629"/>
    <cellStyle name="40% - Accent3 6 3 2 2 2" xfId="26404"/>
    <cellStyle name="40% - Accent3 6 3 2 3" xfId="24108"/>
    <cellStyle name="40% - Accent3 6 3 20" xfId="14781"/>
    <cellStyle name="40% - Accent3 6 3 20 2" xfId="37556"/>
    <cellStyle name="40% - Accent3 6 3 21" xfId="15437"/>
    <cellStyle name="40% - Accent3 6 3 21 2" xfId="38212"/>
    <cellStyle name="40% - Accent3 6 3 22" xfId="16093"/>
    <cellStyle name="40% - Accent3 6 3 22 2" xfId="38868"/>
    <cellStyle name="40% - Accent3 6 3 23" xfId="16749"/>
    <cellStyle name="40% - Accent3 6 3 23 2" xfId="39524"/>
    <cellStyle name="40% - Accent3 6 3 24" xfId="17405"/>
    <cellStyle name="40% - Accent3 6 3 24 2" xfId="40180"/>
    <cellStyle name="40% - Accent3 6 3 25" xfId="18061"/>
    <cellStyle name="40% - Accent3 6 3 25 2" xfId="40836"/>
    <cellStyle name="40% - Accent3 6 3 26" xfId="18717"/>
    <cellStyle name="40% - Accent3 6 3 26 2" xfId="41492"/>
    <cellStyle name="40% - Accent3 6 3 27" xfId="19373"/>
    <cellStyle name="40% - Accent3 6 3 27 2" xfId="42148"/>
    <cellStyle name="40% - Accent3 6 3 28" xfId="20029"/>
    <cellStyle name="40% - Accent3 6 3 28 2" xfId="42804"/>
    <cellStyle name="40% - Accent3 6 3 29" xfId="20685"/>
    <cellStyle name="40% - Accent3 6 3 29 2" xfId="43460"/>
    <cellStyle name="40% - Accent3 6 3 3" xfId="1989"/>
    <cellStyle name="40% - Accent3 6 3 3 2" xfId="4285"/>
    <cellStyle name="40% - Accent3 6 3 3 2 2" xfId="27060"/>
    <cellStyle name="40% - Accent3 6 3 3 3" xfId="24764"/>
    <cellStyle name="40% - Accent3 6 3 30" xfId="21341"/>
    <cellStyle name="40% - Accent3 6 3 30 2" xfId="44116"/>
    <cellStyle name="40% - Accent3 6 3 31" xfId="21997"/>
    <cellStyle name="40% - Accent3 6 3 31 2" xfId="44772"/>
    <cellStyle name="40% - Accent3 6 3 32" xfId="22653"/>
    <cellStyle name="40% - Accent3 6 3 32 2" xfId="45428"/>
    <cellStyle name="40% - Accent3 6 3 33" xfId="23452"/>
    <cellStyle name="40% - Accent3 6 3 4" xfId="4941"/>
    <cellStyle name="40% - Accent3 6 3 4 2" xfId="27716"/>
    <cellStyle name="40% - Accent3 6 3 5" xfId="5597"/>
    <cellStyle name="40% - Accent3 6 3 5 2" xfId="28372"/>
    <cellStyle name="40% - Accent3 6 3 6" xfId="6253"/>
    <cellStyle name="40% - Accent3 6 3 6 2" xfId="29028"/>
    <cellStyle name="40% - Accent3 6 3 7" xfId="2973"/>
    <cellStyle name="40% - Accent3 6 3 7 2" xfId="25748"/>
    <cellStyle name="40% - Accent3 6 3 8" xfId="6909"/>
    <cellStyle name="40% - Accent3 6 3 8 2" xfId="29684"/>
    <cellStyle name="40% - Accent3 6 3 9" xfId="7565"/>
    <cellStyle name="40% - Accent3 6 3 9 2" xfId="30340"/>
    <cellStyle name="40% - Accent3 6 30" xfId="19045"/>
    <cellStyle name="40% - Accent3 6 30 2" xfId="41820"/>
    <cellStyle name="40% - Accent3 6 31" xfId="19701"/>
    <cellStyle name="40% - Accent3 6 31 2" xfId="42476"/>
    <cellStyle name="40% - Accent3 6 32" xfId="20357"/>
    <cellStyle name="40% - Accent3 6 32 2" xfId="43132"/>
    <cellStyle name="40% - Accent3 6 33" xfId="21013"/>
    <cellStyle name="40% - Accent3 6 33 2" xfId="43788"/>
    <cellStyle name="40% - Accent3 6 34" xfId="21669"/>
    <cellStyle name="40% - Accent3 6 34 2" xfId="44444"/>
    <cellStyle name="40% - Accent3 6 35" xfId="22325"/>
    <cellStyle name="40% - Accent3 6 35 2" xfId="45100"/>
    <cellStyle name="40% - Accent3 6 36" xfId="264"/>
    <cellStyle name="40% - Accent3 6 37" xfId="22981"/>
    <cellStyle name="40% - Accent3 6 4" xfId="350"/>
    <cellStyle name="40% - Accent3 6 4 2" xfId="2645"/>
    <cellStyle name="40% - Accent3 6 4 2 2" xfId="25420"/>
    <cellStyle name="40% - Accent3 6 4 3" xfId="23124"/>
    <cellStyle name="40% - Accent3 6 5" xfId="1005"/>
    <cellStyle name="40% - Accent3 6 5 2" xfId="3301"/>
    <cellStyle name="40% - Accent3 6 5 2 2" xfId="26076"/>
    <cellStyle name="40% - Accent3 6 5 3" xfId="23780"/>
    <cellStyle name="40% - Accent3 6 6" xfId="1661"/>
    <cellStyle name="40% - Accent3 6 6 2" xfId="3957"/>
    <cellStyle name="40% - Accent3 6 6 2 2" xfId="26732"/>
    <cellStyle name="40% - Accent3 6 6 3" xfId="24436"/>
    <cellStyle name="40% - Accent3 6 7" xfId="4613"/>
    <cellStyle name="40% - Accent3 6 7 2" xfId="27388"/>
    <cellStyle name="40% - Accent3 6 8" xfId="5269"/>
    <cellStyle name="40% - Accent3 6 8 2" xfId="28044"/>
    <cellStyle name="40% - Accent3 6 9" xfId="5925"/>
    <cellStyle name="40% - Accent3 6 9 2" xfId="28700"/>
    <cellStyle name="40% - Accent3 7" xfId="423"/>
    <cellStyle name="40% - Accent3 7 10" xfId="6654"/>
    <cellStyle name="40% - Accent3 7 10 2" xfId="29429"/>
    <cellStyle name="40% - Accent3 7 11" xfId="7310"/>
    <cellStyle name="40% - Accent3 7 11 2" xfId="30085"/>
    <cellStyle name="40% - Accent3 7 12" xfId="7966"/>
    <cellStyle name="40% - Accent3 7 12 2" xfId="30741"/>
    <cellStyle name="40% - Accent3 7 13" xfId="8622"/>
    <cellStyle name="40% - Accent3 7 13 2" xfId="31397"/>
    <cellStyle name="40% - Accent3 7 14" xfId="9278"/>
    <cellStyle name="40% - Accent3 7 14 2" xfId="32053"/>
    <cellStyle name="40% - Accent3 7 15" xfId="9934"/>
    <cellStyle name="40% - Accent3 7 15 2" xfId="32709"/>
    <cellStyle name="40% - Accent3 7 16" xfId="10590"/>
    <cellStyle name="40% - Accent3 7 16 2" xfId="33365"/>
    <cellStyle name="40% - Accent3 7 17" xfId="11246"/>
    <cellStyle name="40% - Accent3 7 17 2" xfId="34021"/>
    <cellStyle name="40% - Accent3 7 18" xfId="11902"/>
    <cellStyle name="40% - Accent3 7 18 2" xfId="34677"/>
    <cellStyle name="40% - Accent3 7 19" xfId="12558"/>
    <cellStyle name="40% - Accent3 7 19 2" xfId="35333"/>
    <cellStyle name="40% - Accent3 7 2" xfId="750"/>
    <cellStyle name="40% - Accent3 7 2 10" xfId="8294"/>
    <cellStyle name="40% - Accent3 7 2 10 2" xfId="31069"/>
    <cellStyle name="40% - Accent3 7 2 11" xfId="8950"/>
    <cellStyle name="40% - Accent3 7 2 11 2" xfId="31725"/>
    <cellStyle name="40% - Accent3 7 2 12" xfId="9606"/>
    <cellStyle name="40% - Accent3 7 2 12 2" xfId="32381"/>
    <cellStyle name="40% - Accent3 7 2 13" xfId="10262"/>
    <cellStyle name="40% - Accent3 7 2 13 2" xfId="33037"/>
    <cellStyle name="40% - Accent3 7 2 14" xfId="10918"/>
    <cellStyle name="40% - Accent3 7 2 14 2" xfId="33693"/>
    <cellStyle name="40% - Accent3 7 2 15" xfId="11574"/>
    <cellStyle name="40% - Accent3 7 2 15 2" xfId="34349"/>
    <cellStyle name="40% - Accent3 7 2 16" xfId="12230"/>
    <cellStyle name="40% - Accent3 7 2 16 2" xfId="35005"/>
    <cellStyle name="40% - Accent3 7 2 17" xfId="12886"/>
    <cellStyle name="40% - Accent3 7 2 17 2" xfId="35661"/>
    <cellStyle name="40% - Accent3 7 2 18" xfId="13542"/>
    <cellStyle name="40% - Accent3 7 2 18 2" xfId="36317"/>
    <cellStyle name="40% - Accent3 7 2 19" xfId="14198"/>
    <cellStyle name="40% - Accent3 7 2 19 2" xfId="36973"/>
    <cellStyle name="40% - Accent3 7 2 2" xfId="1406"/>
    <cellStyle name="40% - Accent3 7 2 2 2" xfId="3702"/>
    <cellStyle name="40% - Accent3 7 2 2 2 2" xfId="26477"/>
    <cellStyle name="40% - Accent3 7 2 2 3" xfId="24181"/>
    <cellStyle name="40% - Accent3 7 2 20" xfId="14854"/>
    <cellStyle name="40% - Accent3 7 2 20 2" xfId="37629"/>
    <cellStyle name="40% - Accent3 7 2 21" xfId="15510"/>
    <cellStyle name="40% - Accent3 7 2 21 2" xfId="38285"/>
    <cellStyle name="40% - Accent3 7 2 22" xfId="16166"/>
    <cellStyle name="40% - Accent3 7 2 22 2" xfId="38941"/>
    <cellStyle name="40% - Accent3 7 2 23" xfId="16822"/>
    <cellStyle name="40% - Accent3 7 2 23 2" xfId="39597"/>
    <cellStyle name="40% - Accent3 7 2 24" xfId="17478"/>
    <cellStyle name="40% - Accent3 7 2 24 2" xfId="40253"/>
    <cellStyle name="40% - Accent3 7 2 25" xfId="18134"/>
    <cellStyle name="40% - Accent3 7 2 25 2" xfId="40909"/>
    <cellStyle name="40% - Accent3 7 2 26" xfId="18790"/>
    <cellStyle name="40% - Accent3 7 2 26 2" xfId="41565"/>
    <cellStyle name="40% - Accent3 7 2 27" xfId="19446"/>
    <cellStyle name="40% - Accent3 7 2 27 2" xfId="42221"/>
    <cellStyle name="40% - Accent3 7 2 28" xfId="20102"/>
    <cellStyle name="40% - Accent3 7 2 28 2" xfId="42877"/>
    <cellStyle name="40% - Accent3 7 2 29" xfId="20758"/>
    <cellStyle name="40% - Accent3 7 2 29 2" xfId="43533"/>
    <cellStyle name="40% - Accent3 7 2 3" xfId="2062"/>
    <cellStyle name="40% - Accent3 7 2 3 2" xfId="4358"/>
    <cellStyle name="40% - Accent3 7 2 3 2 2" xfId="27133"/>
    <cellStyle name="40% - Accent3 7 2 3 3" xfId="24837"/>
    <cellStyle name="40% - Accent3 7 2 30" xfId="21414"/>
    <cellStyle name="40% - Accent3 7 2 30 2" xfId="44189"/>
    <cellStyle name="40% - Accent3 7 2 31" xfId="22070"/>
    <cellStyle name="40% - Accent3 7 2 31 2" xfId="44845"/>
    <cellStyle name="40% - Accent3 7 2 32" xfId="22726"/>
    <cellStyle name="40% - Accent3 7 2 32 2" xfId="45501"/>
    <cellStyle name="40% - Accent3 7 2 33" xfId="23525"/>
    <cellStyle name="40% - Accent3 7 2 4" xfId="5014"/>
    <cellStyle name="40% - Accent3 7 2 4 2" xfId="27789"/>
    <cellStyle name="40% - Accent3 7 2 5" xfId="5670"/>
    <cellStyle name="40% - Accent3 7 2 5 2" xfId="28445"/>
    <cellStyle name="40% - Accent3 7 2 6" xfId="6326"/>
    <cellStyle name="40% - Accent3 7 2 6 2" xfId="29101"/>
    <cellStyle name="40% - Accent3 7 2 7" xfId="3046"/>
    <cellStyle name="40% - Accent3 7 2 7 2" xfId="25821"/>
    <cellStyle name="40% - Accent3 7 2 8" xfId="6982"/>
    <cellStyle name="40% - Accent3 7 2 8 2" xfId="29757"/>
    <cellStyle name="40% - Accent3 7 2 9" xfId="7638"/>
    <cellStyle name="40% - Accent3 7 2 9 2" xfId="30413"/>
    <cellStyle name="40% - Accent3 7 20" xfId="13214"/>
    <cellStyle name="40% - Accent3 7 20 2" xfId="35989"/>
    <cellStyle name="40% - Accent3 7 21" xfId="13870"/>
    <cellStyle name="40% - Accent3 7 21 2" xfId="36645"/>
    <cellStyle name="40% - Accent3 7 22" xfId="14526"/>
    <cellStyle name="40% - Accent3 7 22 2" xfId="37301"/>
    <cellStyle name="40% - Accent3 7 23" xfId="15182"/>
    <cellStyle name="40% - Accent3 7 23 2" xfId="37957"/>
    <cellStyle name="40% - Accent3 7 24" xfId="15838"/>
    <cellStyle name="40% - Accent3 7 24 2" xfId="38613"/>
    <cellStyle name="40% - Accent3 7 25" xfId="16494"/>
    <cellStyle name="40% - Accent3 7 25 2" xfId="39269"/>
    <cellStyle name="40% - Accent3 7 26" xfId="17150"/>
    <cellStyle name="40% - Accent3 7 26 2" xfId="39925"/>
    <cellStyle name="40% - Accent3 7 27" xfId="17806"/>
    <cellStyle name="40% - Accent3 7 27 2" xfId="40581"/>
    <cellStyle name="40% - Accent3 7 28" xfId="18462"/>
    <cellStyle name="40% - Accent3 7 28 2" xfId="41237"/>
    <cellStyle name="40% - Accent3 7 29" xfId="19118"/>
    <cellStyle name="40% - Accent3 7 29 2" xfId="41893"/>
    <cellStyle name="40% - Accent3 7 3" xfId="1078"/>
    <cellStyle name="40% - Accent3 7 3 2" xfId="2718"/>
    <cellStyle name="40% - Accent3 7 3 2 2" xfId="25493"/>
    <cellStyle name="40% - Accent3 7 3 3" xfId="23853"/>
    <cellStyle name="40% - Accent3 7 30" xfId="19774"/>
    <cellStyle name="40% - Accent3 7 30 2" xfId="42549"/>
    <cellStyle name="40% - Accent3 7 31" xfId="20430"/>
    <cellStyle name="40% - Accent3 7 31 2" xfId="43205"/>
    <cellStyle name="40% - Accent3 7 32" xfId="21086"/>
    <cellStyle name="40% - Accent3 7 32 2" xfId="43861"/>
    <cellStyle name="40% - Accent3 7 33" xfId="21742"/>
    <cellStyle name="40% - Accent3 7 33 2" xfId="44517"/>
    <cellStyle name="40% - Accent3 7 34" xfId="22398"/>
    <cellStyle name="40% - Accent3 7 34 2" xfId="45173"/>
    <cellStyle name="40% - Accent3 7 35" xfId="23197"/>
    <cellStyle name="40% - Accent3 7 4" xfId="1734"/>
    <cellStyle name="40% - Accent3 7 4 2" xfId="3374"/>
    <cellStyle name="40% - Accent3 7 4 2 2" xfId="26149"/>
    <cellStyle name="40% - Accent3 7 4 3" xfId="24509"/>
    <cellStyle name="40% - Accent3 7 5" xfId="4030"/>
    <cellStyle name="40% - Accent3 7 5 2" xfId="26805"/>
    <cellStyle name="40% - Accent3 7 6" xfId="4686"/>
    <cellStyle name="40% - Accent3 7 6 2" xfId="27461"/>
    <cellStyle name="40% - Accent3 7 7" xfId="5342"/>
    <cellStyle name="40% - Accent3 7 7 2" xfId="28117"/>
    <cellStyle name="40% - Accent3 7 8" xfId="5998"/>
    <cellStyle name="40% - Accent3 7 8 2" xfId="28773"/>
    <cellStyle name="40% - Accent3 7 9" xfId="2390"/>
    <cellStyle name="40% - Accent3 7 9 2" xfId="25165"/>
    <cellStyle name="40% - Accent3 8" xfId="437"/>
    <cellStyle name="40% - Accent3 8 10" xfId="6668"/>
    <cellStyle name="40% - Accent3 8 10 2" xfId="29443"/>
    <cellStyle name="40% - Accent3 8 11" xfId="7324"/>
    <cellStyle name="40% - Accent3 8 11 2" xfId="30099"/>
    <cellStyle name="40% - Accent3 8 12" xfId="7980"/>
    <cellStyle name="40% - Accent3 8 12 2" xfId="30755"/>
    <cellStyle name="40% - Accent3 8 13" xfId="8636"/>
    <cellStyle name="40% - Accent3 8 13 2" xfId="31411"/>
    <cellStyle name="40% - Accent3 8 14" xfId="9292"/>
    <cellStyle name="40% - Accent3 8 14 2" xfId="32067"/>
    <cellStyle name="40% - Accent3 8 15" xfId="9948"/>
    <cellStyle name="40% - Accent3 8 15 2" xfId="32723"/>
    <cellStyle name="40% - Accent3 8 16" xfId="10604"/>
    <cellStyle name="40% - Accent3 8 16 2" xfId="33379"/>
    <cellStyle name="40% - Accent3 8 17" xfId="11260"/>
    <cellStyle name="40% - Accent3 8 17 2" xfId="34035"/>
    <cellStyle name="40% - Accent3 8 18" xfId="11916"/>
    <cellStyle name="40% - Accent3 8 18 2" xfId="34691"/>
    <cellStyle name="40% - Accent3 8 19" xfId="12572"/>
    <cellStyle name="40% - Accent3 8 19 2" xfId="35347"/>
    <cellStyle name="40% - Accent3 8 2" xfId="764"/>
    <cellStyle name="40% - Accent3 8 2 10" xfId="8308"/>
    <cellStyle name="40% - Accent3 8 2 10 2" xfId="31083"/>
    <cellStyle name="40% - Accent3 8 2 11" xfId="8964"/>
    <cellStyle name="40% - Accent3 8 2 11 2" xfId="31739"/>
    <cellStyle name="40% - Accent3 8 2 12" xfId="9620"/>
    <cellStyle name="40% - Accent3 8 2 12 2" xfId="32395"/>
    <cellStyle name="40% - Accent3 8 2 13" xfId="10276"/>
    <cellStyle name="40% - Accent3 8 2 13 2" xfId="33051"/>
    <cellStyle name="40% - Accent3 8 2 14" xfId="10932"/>
    <cellStyle name="40% - Accent3 8 2 14 2" xfId="33707"/>
    <cellStyle name="40% - Accent3 8 2 15" xfId="11588"/>
    <cellStyle name="40% - Accent3 8 2 15 2" xfId="34363"/>
    <cellStyle name="40% - Accent3 8 2 16" xfId="12244"/>
    <cellStyle name="40% - Accent3 8 2 16 2" xfId="35019"/>
    <cellStyle name="40% - Accent3 8 2 17" xfId="12900"/>
    <cellStyle name="40% - Accent3 8 2 17 2" xfId="35675"/>
    <cellStyle name="40% - Accent3 8 2 18" xfId="13556"/>
    <cellStyle name="40% - Accent3 8 2 18 2" xfId="36331"/>
    <cellStyle name="40% - Accent3 8 2 19" xfId="14212"/>
    <cellStyle name="40% - Accent3 8 2 19 2" xfId="36987"/>
    <cellStyle name="40% - Accent3 8 2 2" xfId="1420"/>
    <cellStyle name="40% - Accent3 8 2 2 2" xfId="3716"/>
    <cellStyle name="40% - Accent3 8 2 2 2 2" xfId="26491"/>
    <cellStyle name="40% - Accent3 8 2 2 3" xfId="24195"/>
    <cellStyle name="40% - Accent3 8 2 20" xfId="14868"/>
    <cellStyle name="40% - Accent3 8 2 20 2" xfId="37643"/>
    <cellStyle name="40% - Accent3 8 2 21" xfId="15524"/>
    <cellStyle name="40% - Accent3 8 2 21 2" xfId="38299"/>
    <cellStyle name="40% - Accent3 8 2 22" xfId="16180"/>
    <cellStyle name="40% - Accent3 8 2 22 2" xfId="38955"/>
    <cellStyle name="40% - Accent3 8 2 23" xfId="16836"/>
    <cellStyle name="40% - Accent3 8 2 23 2" xfId="39611"/>
    <cellStyle name="40% - Accent3 8 2 24" xfId="17492"/>
    <cellStyle name="40% - Accent3 8 2 24 2" xfId="40267"/>
    <cellStyle name="40% - Accent3 8 2 25" xfId="18148"/>
    <cellStyle name="40% - Accent3 8 2 25 2" xfId="40923"/>
    <cellStyle name="40% - Accent3 8 2 26" xfId="18804"/>
    <cellStyle name="40% - Accent3 8 2 26 2" xfId="41579"/>
    <cellStyle name="40% - Accent3 8 2 27" xfId="19460"/>
    <cellStyle name="40% - Accent3 8 2 27 2" xfId="42235"/>
    <cellStyle name="40% - Accent3 8 2 28" xfId="20116"/>
    <cellStyle name="40% - Accent3 8 2 28 2" xfId="42891"/>
    <cellStyle name="40% - Accent3 8 2 29" xfId="20772"/>
    <cellStyle name="40% - Accent3 8 2 29 2" xfId="43547"/>
    <cellStyle name="40% - Accent3 8 2 3" xfId="2076"/>
    <cellStyle name="40% - Accent3 8 2 3 2" xfId="4372"/>
    <cellStyle name="40% - Accent3 8 2 3 2 2" xfId="27147"/>
    <cellStyle name="40% - Accent3 8 2 3 3" xfId="24851"/>
    <cellStyle name="40% - Accent3 8 2 30" xfId="21428"/>
    <cellStyle name="40% - Accent3 8 2 30 2" xfId="44203"/>
    <cellStyle name="40% - Accent3 8 2 31" xfId="22084"/>
    <cellStyle name="40% - Accent3 8 2 31 2" xfId="44859"/>
    <cellStyle name="40% - Accent3 8 2 32" xfId="22740"/>
    <cellStyle name="40% - Accent3 8 2 32 2" xfId="45515"/>
    <cellStyle name="40% - Accent3 8 2 33" xfId="23539"/>
    <cellStyle name="40% - Accent3 8 2 4" xfId="5028"/>
    <cellStyle name="40% - Accent3 8 2 4 2" xfId="27803"/>
    <cellStyle name="40% - Accent3 8 2 5" xfId="5684"/>
    <cellStyle name="40% - Accent3 8 2 5 2" xfId="28459"/>
    <cellStyle name="40% - Accent3 8 2 6" xfId="6340"/>
    <cellStyle name="40% - Accent3 8 2 6 2" xfId="29115"/>
    <cellStyle name="40% - Accent3 8 2 7" xfId="3060"/>
    <cellStyle name="40% - Accent3 8 2 7 2" xfId="25835"/>
    <cellStyle name="40% - Accent3 8 2 8" xfId="6996"/>
    <cellStyle name="40% - Accent3 8 2 8 2" xfId="29771"/>
    <cellStyle name="40% - Accent3 8 2 9" xfId="7652"/>
    <cellStyle name="40% - Accent3 8 2 9 2" xfId="30427"/>
    <cellStyle name="40% - Accent3 8 20" xfId="13228"/>
    <cellStyle name="40% - Accent3 8 20 2" xfId="36003"/>
    <cellStyle name="40% - Accent3 8 21" xfId="13884"/>
    <cellStyle name="40% - Accent3 8 21 2" xfId="36659"/>
    <cellStyle name="40% - Accent3 8 22" xfId="14540"/>
    <cellStyle name="40% - Accent3 8 22 2" xfId="37315"/>
    <cellStyle name="40% - Accent3 8 23" xfId="15196"/>
    <cellStyle name="40% - Accent3 8 23 2" xfId="37971"/>
    <cellStyle name="40% - Accent3 8 24" xfId="15852"/>
    <cellStyle name="40% - Accent3 8 24 2" xfId="38627"/>
    <cellStyle name="40% - Accent3 8 25" xfId="16508"/>
    <cellStyle name="40% - Accent3 8 25 2" xfId="39283"/>
    <cellStyle name="40% - Accent3 8 26" xfId="17164"/>
    <cellStyle name="40% - Accent3 8 26 2" xfId="39939"/>
    <cellStyle name="40% - Accent3 8 27" xfId="17820"/>
    <cellStyle name="40% - Accent3 8 27 2" xfId="40595"/>
    <cellStyle name="40% - Accent3 8 28" xfId="18476"/>
    <cellStyle name="40% - Accent3 8 28 2" xfId="41251"/>
    <cellStyle name="40% - Accent3 8 29" xfId="19132"/>
    <cellStyle name="40% - Accent3 8 29 2" xfId="41907"/>
    <cellStyle name="40% - Accent3 8 3" xfId="1092"/>
    <cellStyle name="40% - Accent3 8 3 2" xfId="2732"/>
    <cellStyle name="40% - Accent3 8 3 2 2" xfId="25507"/>
    <cellStyle name="40% - Accent3 8 3 3" xfId="23867"/>
    <cellStyle name="40% - Accent3 8 30" xfId="19788"/>
    <cellStyle name="40% - Accent3 8 30 2" xfId="42563"/>
    <cellStyle name="40% - Accent3 8 31" xfId="20444"/>
    <cellStyle name="40% - Accent3 8 31 2" xfId="43219"/>
    <cellStyle name="40% - Accent3 8 32" xfId="21100"/>
    <cellStyle name="40% - Accent3 8 32 2" xfId="43875"/>
    <cellStyle name="40% - Accent3 8 33" xfId="21756"/>
    <cellStyle name="40% - Accent3 8 33 2" xfId="44531"/>
    <cellStyle name="40% - Accent3 8 34" xfId="22412"/>
    <cellStyle name="40% - Accent3 8 34 2" xfId="45187"/>
    <cellStyle name="40% - Accent3 8 35" xfId="23211"/>
    <cellStyle name="40% - Accent3 8 4" xfId="1748"/>
    <cellStyle name="40% - Accent3 8 4 2" xfId="3388"/>
    <cellStyle name="40% - Accent3 8 4 2 2" xfId="26163"/>
    <cellStyle name="40% - Accent3 8 4 3" xfId="24523"/>
    <cellStyle name="40% - Accent3 8 5" xfId="4044"/>
    <cellStyle name="40% - Accent3 8 5 2" xfId="26819"/>
    <cellStyle name="40% - Accent3 8 6" xfId="4700"/>
    <cellStyle name="40% - Accent3 8 6 2" xfId="27475"/>
    <cellStyle name="40% - Accent3 8 7" xfId="5356"/>
    <cellStyle name="40% - Accent3 8 7 2" xfId="28131"/>
    <cellStyle name="40% - Accent3 8 8" xfId="6012"/>
    <cellStyle name="40% - Accent3 8 8 2" xfId="28787"/>
    <cellStyle name="40% - Accent3 8 9" xfId="2404"/>
    <cellStyle name="40% - Accent3 8 9 2" xfId="25179"/>
    <cellStyle name="40% - Accent3 9" xfId="451"/>
    <cellStyle name="40% - Accent3 9 10" xfId="6682"/>
    <cellStyle name="40% - Accent3 9 10 2" xfId="29457"/>
    <cellStyle name="40% - Accent3 9 11" xfId="7338"/>
    <cellStyle name="40% - Accent3 9 11 2" xfId="30113"/>
    <cellStyle name="40% - Accent3 9 12" xfId="7994"/>
    <cellStyle name="40% - Accent3 9 12 2" xfId="30769"/>
    <cellStyle name="40% - Accent3 9 13" xfId="8650"/>
    <cellStyle name="40% - Accent3 9 13 2" xfId="31425"/>
    <cellStyle name="40% - Accent3 9 14" xfId="9306"/>
    <cellStyle name="40% - Accent3 9 14 2" xfId="32081"/>
    <cellStyle name="40% - Accent3 9 15" xfId="9962"/>
    <cellStyle name="40% - Accent3 9 15 2" xfId="32737"/>
    <cellStyle name="40% - Accent3 9 16" xfId="10618"/>
    <cellStyle name="40% - Accent3 9 16 2" xfId="33393"/>
    <cellStyle name="40% - Accent3 9 17" xfId="11274"/>
    <cellStyle name="40% - Accent3 9 17 2" xfId="34049"/>
    <cellStyle name="40% - Accent3 9 18" xfId="11930"/>
    <cellStyle name="40% - Accent3 9 18 2" xfId="34705"/>
    <cellStyle name="40% - Accent3 9 19" xfId="12586"/>
    <cellStyle name="40% - Accent3 9 19 2" xfId="35361"/>
    <cellStyle name="40% - Accent3 9 2" xfId="778"/>
    <cellStyle name="40% - Accent3 9 2 10" xfId="8322"/>
    <cellStyle name="40% - Accent3 9 2 10 2" xfId="31097"/>
    <cellStyle name="40% - Accent3 9 2 11" xfId="8978"/>
    <cellStyle name="40% - Accent3 9 2 11 2" xfId="31753"/>
    <cellStyle name="40% - Accent3 9 2 12" xfId="9634"/>
    <cellStyle name="40% - Accent3 9 2 12 2" xfId="32409"/>
    <cellStyle name="40% - Accent3 9 2 13" xfId="10290"/>
    <cellStyle name="40% - Accent3 9 2 13 2" xfId="33065"/>
    <cellStyle name="40% - Accent3 9 2 14" xfId="10946"/>
    <cellStyle name="40% - Accent3 9 2 14 2" xfId="33721"/>
    <cellStyle name="40% - Accent3 9 2 15" xfId="11602"/>
    <cellStyle name="40% - Accent3 9 2 15 2" xfId="34377"/>
    <cellStyle name="40% - Accent3 9 2 16" xfId="12258"/>
    <cellStyle name="40% - Accent3 9 2 16 2" xfId="35033"/>
    <cellStyle name="40% - Accent3 9 2 17" xfId="12914"/>
    <cellStyle name="40% - Accent3 9 2 17 2" xfId="35689"/>
    <cellStyle name="40% - Accent3 9 2 18" xfId="13570"/>
    <cellStyle name="40% - Accent3 9 2 18 2" xfId="36345"/>
    <cellStyle name="40% - Accent3 9 2 19" xfId="14226"/>
    <cellStyle name="40% - Accent3 9 2 19 2" xfId="37001"/>
    <cellStyle name="40% - Accent3 9 2 2" xfId="1434"/>
    <cellStyle name="40% - Accent3 9 2 2 2" xfId="3730"/>
    <cellStyle name="40% - Accent3 9 2 2 2 2" xfId="26505"/>
    <cellStyle name="40% - Accent3 9 2 2 3" xfId="24209"/>
    <cellStyle name="40% - Accent3 9 2 20" xfId="14882"/>
    <cellStyle name="40% - Accent3 9 2 20 2" xfId="37657"/>
    <cellStyle name="40% - Accent3 9 2 21" xfId="15538"/>
    <cellStyle name="40% - Accent3 9 2 21 2" xfId="38313"/>
    <cellStyle name="40% - Accent3 9 2 22" xfId="16194"/>
    <cellStyle name="40% - Accent3 9 2 22 2" xfId="38969"/>
    <cellStyle name="40% - Accent3 9 2 23" xfId="16850"/>
    <cellStyle name="40% - Accent3 9 2 23 2" xfId="39625"/>
    <cellStyle name="40% - Accent3 9 2 24" xfId="17506"/>
    <cellStyle name="40% - Accent3 9 2 24 2" xfId="40281"/>
    <cellStyle name="40% - Accent3 9 2 25" xfId="18162"/>
    <cellStyle name="40% - Accent3 9 2 25 2" xfId="40937"/>
    <cellStyle name="40% - Accent3 9 2 26" xfId="18818"/>
    <cellStyle name="40% - Accent3 9 2 26 2" xfId="41593"/>
    <cellStyle name="40% - Accent3 9 2 27" xfId="19474"/>
    <cellStyle name="40% - Accent3 9 2 27 2" xfId="42249"/>
    <cellStyle name="40% - Accent3 9 2 28" xfId="20130"/>
    <cellStyle name="40% - Accent3 9 2 28 2" xfId="42905"/>
    <cellStyle name="40% - Accent3 9 2 29" xfId="20786"/>
    <cellStyle name="40% - Accent3 9 2 29 2" xfId="43561"/>
    <cellStyle name="40% - Accent3 9 2 3" xfId="2090"/>
    <cellStyle name="40% - Accent3 9 2 3 2" xfId="4386"/>
    <cellStyle name="40% - Accent3 9 2 3 2 2" xfId="27161"/>
    <cellStyle name="40% - Accent3 9 2 3 3" xfId="24865"/>
    <cellStyle name="40% - Accent3 9 2 30" xfId="21442"/>
    <cellStyle name="40% - Accent3 9 2 30 2" xfId="44217"/>
    <cellStyle name="40% - Accent3 9 2 31" xfId="22098"/>
    <cellStyle name="40% - Accent3 9 2 31 2" xfId="44873"/>
    <cellStyle name="40% - Accent3 9 2 32" xfId="22754"/>
    <cellStyle name="40% - Accent3 9 2 32 2" xfId="45529"/>
    <cellStyle name="40% - Accent3 9 2 33" xfId="23553"/>
    <cellStyle name="40% - Accent3 9 2 4" xfId="5042"/>
    <cellStyle name="40% - Accent3 9 2 4 2" xfId="27817"/>
    <cellStyle name="40% - Accent3 9 2 5" xfId="5698"/>
    <cellStyle name="40% - Accent3 9 2 5 2" xfId="28473"/>
    <cellStyle name="40% - Accent3 9 2 6" xfId="6354"/>
    <cellStyle name="40% - Accent3 9 2 6 2" xfId="29129"/>
    <cellStyle name="40% - Accent3 9 2 7" xfId="3074"/>
    <cellStyle name="40% - Accent3 9 2 7 2" xfId="25849"/>
    <cellStyle name="40% - Accent3 9 2 8" xfId="7010"/>
    <cellStyle name="40% - Accent3 9 2 8 2" xfId="29785"/>
    <cellStyle name="40% - Accent3 9 2 9" xfId="7666"/>
    <cellStyle name="40% - Accent3 9 2 9 2" xfId="30441"/>
    <cellStyle name="40% - Accent3 9 20" xfId="13242"/>
    <cellStyle name="40% - Accent3 9 20 2" xfId="36017"/>
    <cellStyle name="40% - Accent3 9 21" xfId="13898"/>
    <cellStyle name="40% - Accent3 9 21 2" xfId="36673"/>
    <cellStyle name="40% - Accent3 9 22" xfId="14554"/>
    <cellStyle name="40% - Accent3 9 22 2" xfId="37329"/>
    <cellStyle name="40% - Accent3 9 23" xfId="15210"/>
    <cellStyle name="40% - Accent3 9 23 2" xfId="37985"/>
    <cellStyle name="40% - Accent3 9 24" xfId="15866"/>
    <cellStyle name="40% - Accent3 9 24 2" xfId="38641"/>
    <cellStyle name="40% - Accent3 9 25" xfId="16522"/>
    <cellStyle name="40% - Accent3 9 25 2" xfId="39297"/>
    <cellStyle name="40% - Accent3 9 26" xfId="17178"/>
    <cellStyle name="40% - Accent3 9 26 2" xfId="39953"/>
    <cellStyle name="40% - Accent3 9 27" xfId="17834"/>
    <cellStyle name="40% - Accent3 9 27 2" xfId="40609"/>
    <cellStyle name="40% - Accent3 9 28" xfId="18490"/>
    <cellStyle name="40% - Accent3 9 28 2" xfId="41265"/>
    <cellStyle name="40% - Accent3 9 29" xfId="19146"/>
    <cellStyle name="40% - Accent3 9 29 2" xfId="41921"/>
    <cellStyle name="40% - Accent3 9 3" xfId="1106"/>
    <cellStyle name="40% - Accent3 9 3 2" xfId="2746"/>
    <cellStyle name="40% - Accent3 9 3 2 2" xfId="25521"/>
    <cellStyle name="40% - Accent3 9 3 3" xfId="23881"/>
    <cellStyle name="40% - Accent3 9 30" xfId="19802"/>
    <cellStyle name="40% - Accent3 9 30 2" xfId="42577"/>
    <cellStyle name="40% - Accent3 9 31" xfId="20458"/>
    <cellStyle name="40% - Accent3 9 31 2" xfId="43233"/>
    <cellStyle name="40% - Accent3 9 32" xfId="21114"/>
    <cellStyle name="40% - Accent3 9 32 2" xfId="43889"/>
    <cellStyle name="40% - Accent3 9 33" xfId="21770"/>
    <cellStyle name="40% - Accent3 9 33 2" xfId="44545"/>
    <cellStyle name="40% - Accent3 9 34" xfId="22426"/>
    <cellStyle name="40% - Accent3 9 34 2" xfId="45201"/>
    <cellStyle name="40% - Accent3 9 35" xfId="23225"/>
    <cellStyle name="40% - Accent3 9 4" xfId="1762"/>
    <cellStyle name="40% - Accent3 9 4 2" xfId="3402"/>
    <cellStyle name="40% - Accent3 9 4 2 2" xfId="26177"/>
    <cellStyle name="40% - Accent3 9 4 3" xfId="24537"/>
    <cellStyle name="40% - Accent3 9 5" xfId="4058"/>
    <cellStyle name="40% - Accent3 9 5 2" xfId="26833"/>
    <cellStyle name="40% - Accent3 9 6" xfId="4714"/>
    <cellStyle name="40% - Accent3 9 6 2" xfId="27489"/>
    <cellStyle name="40% - Accent3 9 7" xfId="5370"/>
    <cellStyle name="40% - Accent3 9 7 2" xfId="28145"/>
    <cellStyle name="40% - Accent3 9 8" xfId="6026"/>
    <cellStyle name="40% - Accent3 9 8 2" xfId="28801"/>
    <cellStyle name="40% - Accent3 9 9" xfId="2418"/>
    <cellStyle name="40% - Accent3 9 9 2" xfId="25193"/>
    <cellStyle name="40% - Accent4" xfId="34" builtinId="43" customBuiltin="1"/>
    <cellStyle name="40% - Accent4 10" xfId="465"/>
    <cellStyle name="40% - Accent4 10 10" xfId="6696"/>
    <cellStyle name="40% - Accent4 10 10 2" xfId="29471"/>
    <cellStyle name="40% - Accent4 10 11" xfId="7352"/>
    <cellStyle name="40% - Accent4 10 11 2" xfId="30127"/>
    <cellStyle name="40% - Accent4 10 12" xfId="8008"/>
    <cellStyle name="40% - Accent4 10 12 2" xfId="30783"/>
    <cellStyle name="40% - Accent4 10 13" xfId="8664"/>
    <cellStyle name="40% - Accent4 10 13 2" xfId="31439"/>
    <cellStyle name="40% - Accent4 10 14" xfId="9320"/>
    <cellStyle name="40% - Accent4 10 14 2" xfId="32095"/>
    <cellStyle name="40% - Accent4 10 15" xfId="9976"/>
    <cellStyle name="40% - Accent4 10 15 2" xfId="32751"/>
    <cellStyle name="40% - Accent4 10 16" xfId="10632"/>
    <cellStyle name="40% - Accent4 10 16 2" xfId="33407"/>
    <cellStyle name="40% - Accent4 10 17" xfId="11288"/>
    <cellStyle name="40% - Accent4 10 17 2" xfId="34063"/>
    <cellStyle name="40% - Accent4 10 18" xfId="11944"/>
    <cellStyle name="40% - Accent4 10 18 2" xfId="34719"/>
    <cellStyle name="40% - Accent4 10 19" xfId="12600"/>
    <cellStyle name="40% - Accent4 10 19 2" xfId="35375"/>
    <cellStyle name="40% - Accent4 10 2" xfId="792"/>
    <cellStyle name="40% - Accent4 10 2 10" xfId="8336"/>
    <cellStyle name="40% - Accent4 10 2 10 2" xfId="31111"/>
    <cellStyle name="40% - Accent4 10 2 11" xfId="8992"/>
    <cellStyle name="40% - Accent4 10 2 11 2" xfId="31767"/>
    <cellStyle name="40% - Accent4 10 2 12" xfId="9648"/>
    <cellStyle name="40% - Accent4 10 2 12 2" xfId="32423"/>
    <cellStyle name="40% - Accent4 10 2 13" xfId="10304"/>
    <cellStyle name="40% - Accent4 10 2 13 2" xfId="33079"/>
    <cellStyle name="40% - Accent4 10 2 14" xfId="10960"/>
    <cellStyle name="40% - Accent4 10 2 14 2" xfId="33735"/>
    <cellStyle name="40% - Accent4 10 2 15" xfId="11616"/>
    <cellStyle name="40% - Accent4 10 2 15 2" xfId="34391"/>
    <cellStyle name="40% - Accent4 10 2 16" xfId="12272"/>
    <cellStyle name="40% - Accent4 10 2 16 2" xfId="35047"/>
    <cellStyle name="40% - Accent4 10 2 17" xfId="12928"/>
    <cellStyle name="40% - Accent4 10 2 17 2" xfId="35703"/>
    <cellStyle name="40% - Accent4 10 2 18" xfId="13584"/>
    <cellStyle name="40% - Accent4 10 2 18 2" xfId="36359"/>
    <cellStyle name="40% - Accent4 10 2 19" xfId="14240"/>
    <cellStyle name="40% - Accent4 10 2 19 2" xfId="37015"/>
    <cellStyle name="40% - Accent4 10 2 2" xfId="1448"/>
    <cellStyle name="40% - Accent4 10 2 2 2" xfId="3744"/>
    <cellStyle name="40% - Accent4 10 2 2 2 2" xfId="26519"/>
    <cellStyle name="40% - Accent4 10 2 2 3" xfId="24223"/>
    <cellStyle name="40% - Accent4 10 2 20" xfId="14896"/>
    <cellStyle name="40% - Accent4 10 2 20 2" xfId="37671"/>
    <cellStyle name="40% - Accent4 10 2 21" xfId="15552"/>
    <cellStyle name="40% - Accent4 10 2 21 2" xfId="38327"/>
    <cellStyle name="40% - Accent4 10 2 22" xfId="16208"/>
    <cellStyle name="40% - Accent4 10 2 22 2" xfId="38983"/>
    <cellStyle name="40% - Accent4 10 2 23" xfId="16864"/>
    <cellStyle name="40% - Accent4 10 2 23 2" xfId="39639"/>
    <cellStyle name="40% - Accent4 10 2 24" xfId="17520"/>
    <cellStyle name="40% - Accent4 10 2 24 2" xfId="40295"/>
    <cellStyle name="40% - Accent4 10 2 25" xfId="18176"/>
    <cellStyle name="40% - Accent4 10 2 25 2" xfId="40951"/>
    <cellStyle name="40% - Accent4 10 2 26" xfId="18832"/>
    <cellStyle name="40% - Accent4 10 2 26 2" xfId="41607"/>
    <cellStyle name="40% - Accent4 10 2 27" xfId="19488"/>
    <cellStyle name="40% - Accent4 10 2 27 2" xfId="42263"/>
    <cellStyle name="40% - Accent4 10 2 28" xfId="20144"/>
    <cellStyle name="40% - Accent4 10 2 28 2" xfId="42919"/>
    <cellStyle name="40% - Accent4 10 2 29" xfId="20800"/>
    <cellStyle name="40% - Accent4 10 2 29 2" xfId="43575"/>
    <cellStyle name="40% - Accent4 10 2 3" xfId="2104"/>
    <cellStyle name="40% - Accent4 10 2 3 2" xfId="4400"/>
    <cellStyle name="40% - Accent4 10 2 3 2 2" xfId="27175"/>
    <cellStyle name="40% - Accent4 10 2 3 3" xfId="24879"/>
    <cellStyle name="40% - Accent4 10 2 30" xfId="21456"/>
    <cellStyle name="40% - Accent4 10 2 30 2" xfId="44231"/>
    <cellStyle name="40% - Accent4 10 2 31" xfId="22112"/>
    <cellStyle name="40% - Accent4 10 2 31 2" xfId="44887"/>
    <cellStyle name="40% - Accent4 10 2 32" xfId="22768"/>
    <cellStyle name="40% - Accent4 10 2 32 2" xfId="45543"/>
    <cellStyle name="40% - Accent4 10 2 33" xfId="23567"/>
    <cellStyle name="40% - Accent4 10 2 4" xfId="5056"/>
    <cellStyle name="40% - Accent4 10 2 4 2" xfId="27831"/>
    <cellStyle name="40% - Accent4 10 2 5" xfId="5712"/>
    <cellStyle name="40% - Accent4 10 2 5 2" xfId="28487"/>
    <cellStyle name="40% - Accent4 10 2 6" xfId="6368"/>
    <cellStyle name="40% - Accent4 10 2 6 2" xfId="29143"/>
    <cellStyle name="40% - Accent4 10 2 7" xfId="3088"/>
    <cellStyle name="40% - Accent4 10 2 7 2" xfId="25863"/>
    <cellStyle name="40% - Accent4 10 2 8" xfId="7024"/>
    <cellStyle name="40% - Accent4 10 2 8 2" xfId="29799"/>
    <cellStyle name="40% - Accent4 10 2 9" xfId="7680"/>
    <cellStyle name="40% - Accent4 10 2 9 2" xfId="30455"/>
    <cellStyle name="40% - Accent4 10 20" xfId="13256"/>
    <cellStyle name="40% - Accent4 10 20 2" xfId="36031"/>
    <cellStyle name="40% - Accent4 10 21" xfId="13912"/>
    <cellStyle name="40% - Accent4 10 21 2" xfId="36687"/>
    <cellStyle name="40% - Accent4 10 22" xfId="14568"/>
    <cellStyle name="40% - Accent4 10 22 2" xfId="37343"/>
    <cellStyle name="40% - Accent4 10 23" xfId="15224"/>
    <cellStyle name="40% - Accent4 10 23 2" xfId="37999"/>
    <cellStyle name="40% - Accent4 10 24" xfId="15880"/>
    <cellStyle name="40% - Accent4 10 24 2" xfId="38655"/>
    <cellStyle name="40% - Accent4 10 25" xfId="16536"/>
    <cellStyle name="40% - Accent4 10 25 2" xfId="39311"/>
    <cellStyle name="40% - Accent4 10 26" xfId="17192"/>
    <cellStyle name="40% - Accent4 10 26 2" xfId="39967"/>
    <cellStyle name="40% - Accent4 10 27" xfId="17848"/>
    <cellStyle name="40% - Accent4 10 27 2" xfId="40623"/>
    <cellStyle name="40% - Accent4 10 28" xfId="18504"/>
    <cellStyle name="40% - Accent4 10 28 2" xfId="41279"/>
    <cellStyle name="40% - Accent4 10 29" xfId="19160"/>
    <cellStyle name="40% - Accent4 10 29 2" xfId="41935"/>
    <cellStyle name="40% - Accent4 10 3" xfId="1120"/>
    <cellStyle name="40% - Accent4 10 3 2" xfId="2760"/>
    <cellStyle name="40% - Accent4 10 3 2 2" xfId="25535"/>
    <cellStyle name="40% - Accent4 10 3 3" xfId="23895"/>
    <cellStyle name="40% - Accent4 10 30" xfId="19816"/>
    <cellStyle name="40% - Accent4 10 30 2" xfId="42591"/>
    <cellStyle name="40% - Accent4 10 31" xfId="20472"/>
    <cellStyle name="40% - Accent4 10 31 2" xfId="43247"/>
    <cellStyle name="40% - Accent4 10 32" xfId="21128"/>
    <cellStyle name="40% - Accent4 10 32 2" xfId="43903"/>
    <cellStyle name="40% - Accent4 10 33" xfId="21784"/>
    <cellStyle name="40% - Accent4 10 33 2" xfId="44559"/>
    <cellStyle name="40% - Accent4 10 34" xfId="22440"/>
    <cellStyle name="40% - Accent4 10 34 2" xfId="45215"/>
    <cellStyle name="40% - Accent4 10 35" xfId="23239"/>
    <cellStyle name="40% - Accent4 10 4" xfId="1776"/>
    <cellStyle name="40% - Accent4 10 4 2" xfId="3416"/>
    <cellStyle name="40% - Accent4 10 4 2 2" xfId="26191"/>
    <cellStyle name="40% - Accent4 10 4 3" xfId="24551"/>
    <cellStyle name="40% - Accent4 10 5" xfId="4072"/>
    <cellStyle name="40% - Accent4 10 5 2" xfId="26847"/>
    <cellStyle name="40% - Accent4 10 6" xfId="4728"/>
    <cellStyle name="40% - Accent4 10 6 2" xfId="27503"/>
    <cellStyle name="40% - Accent4 10 7" xfId="5384"/>
    <cellStyle name="40% - Accent4 10 7 2" xfId="28159"/>
    <cellStyle name="40% - Accent4 10 8" xfId="6040"/>
    <cellStyle name="40% - Accent4 10 8 2" xfId="28815"/>
    <cellStyle name="40% - Accent4 10 9" xfId="2432"/>
    <cellStyle name="40% - Accent4 10 9 2" xfId="25207"/>
    <cellStyle name="40% - Accent4 11" xfId="607"/>
    <cellStyle name="40% - Accent4 11 10" xfId="8151"/>
    <cellStyle name="40% - Accent4 11 10 2" xfId="30926"/>
    <cellStyle name="40% - Accent4 11 11" xfId="8807"/>
    <cellStyle name="40% - Accent4 11 11 2" xfId="31582"/>
    <cellStyle name="40% - Accent4 11 12" xfId="9463"/>
    <cellStyle name="40% - Accent4 11 12 2" xfId="32238"/>
    <cellStyle name="40% - Accent4 11 13" xfId="10119"/>
    <cellStyle name="40% - Accent4 11 13 2" xfId="32894"/>
    <cellStyle name="40% - Accent4 11 14" xfId="10775"/>
    <cellStyle name="40% - Accent4 11 14 2" xfId="33550"/>
    <cellStyle name="40% - Accent4 11 15" xfId="11431"/>
    <cellStyle name="40% - Accent4 11 15 2" xfId="34206"/>
    <cellStyle name="40% - Accent4 11 16" xfId="12087"/>
    <cellStyle name="40% - Accent4 11 16 2" xfId="34862"/>
    <cellStyle name="40% - Accent4 11 17" xfId="12743"/>
    <cellStyle name="40% - Accent4 11 17 2" xfId="35518"/>
    <cellStyle name="40% - Accent4 11 18" xfId="13399"/>
    <cellStyle name="40% - Accent4 11 18 2" xfId="36174"/>
    <cellStyle name="40% - Accent4 11 19" xfId="14055"/>
    <cellStyle name="40% - Accent4 11 19 2" xfId="36830"/>
    <cellStyle name="40% - Accent4 11 2" xfId="1263"/>
    <cellStyle name="40% - Accent4 11 2 2" xfId="3559"/>
    <cellStyle name="40% - Accent4 11 2 2 2" xfId="26334"/>
    <cellStyle name="40% - Accent4 11 2 3" xfId="24038"/>
    <cellStyle name="40% - Accent4 11 20" xfId="14711"/>
    <cellStyle name="40% - Accent4 11 20 2" xfId="37486"/>
    <cellStyle name="40% - Accent4 11 21" xfId="15367"/>
    <cellStyle name="40% - Accent4 11 21 2" xfId="38142"/>
    <cellStyle name="40% - Accent4 11 22" xfId="16023"/>
    <cellStyle name="40% - Accent4 11 22 2" xfId="38798"/>
    <cellStyle name="40% - Accent4 11 23" xfId="16679"/>
    <cellStyle name="40% - Accent4 11 23 2" xfId="39454"/>
    <cellStyle name="40% - Accent4 11 24" xfId="17335"/>
    <cellStyle name="40% - Accent4 11 24 2" xfId="40110"/>
    <cellStyle name="40% - Accent4 11 25" xfId="17991"/>
    <cellStyle name="40% - Accent4 11 25 2" xfId="40766"/>
    <cellStyle name="40% - Accent4 11 26" xfId="18647"/>
    <cellStyle name="40% - Accent4 11 26 2" xfId="41422"/>
    <cellStyle name="40% - Accent4 11 27" xfId="19303"/>
    <cellStyle name="40% - Accent4 11 27 2" xfId="42078"/>
    <cellStyle name="40% - Accent4 11 28" xfId="19959"/>
    <cellStyle name="40% - Accent4 11 28 2" xfId="42734"/>
    <cellStyle name="40% - Accent4 11 29" xfId="20615"/>
    <cellStyle name="40% - Accent4 11 29 2" xfId="43390"/>
    <cellStyle name="40% - Accent4 11 3" xfId="1919"/>
    <cellStyle name="40% - Accent4 11 3 2" xfId="4215"/>
    <cellStyle name="40% - Accent4 11 3 2 2" xfId="26990"/>
    <cellStyle name="40% - Accent4 11 3 3" xfId="24694"/>
    <cellStyle name="40% - Accent4 11 30" xfId="21271"/>
    <cellStyle name="40% - Accent4 11 30 2" xfId="44046"/>
    <cellStyle name="40% - Accent4 11 31" xfId="21927"/>
    <cellStyle name="40% - Accent4 11 31 2" xfId="44702"/>
    <cellStyle name="40% - Accent4 11 32" xfId="22583"/>
    <cellStyle name="40% - Accent4 11 32 2" xfId="45358"/>
    <cellStyle name="40% - Accent4 11 33" xfId="23382"/>
    <cellStyle name="40% - Accent4 11 4" xfId="4871"/>
    <cellStyle name="40% - Accent4 11 4 2" xfId="27646"/>
    <cellStyle name="40% - Accent4 11 5" xfId="5527"/>
    <cellStyle name="40% - Accent4 11 5 2" xfId="28302"/>
    <cellStyle name="40% - Accent4 11 6" xfId="6183"/>
    <cellStyle name="40% - Accent4 11 6 2" xfId="28958"/>
    <cellStyle name="40% - Accent4 11 7" xfId="2903"/>
    <cellStyle name="40% - Accent4 11 7 2" xfId="25678"/>
    <cellStyle name="40% - Accent4 11 8" xfId="6839"/>
    <cellStyle name="40% - Accent4 11 8 2" xfId="29614"/>
    <cellStyle name="40% - Accent4 11 9" xfId="7495"/>
    <cellStyle name="40% - Accent4 11 9 2" xfId="30270"/>
    <cellStyle name="40% - Accent4 12" xfId="280"/>
    <cellStyle name="40% - Accent4 12 2" xfId="2575"/>
    <cellStyle name="40% - Accent4 12 2 2" xfId="25350"/>
    <cellStyle name="40% - Accent4 12 3" xfId="23054"/>
    <cellStyle name="40% - Accent4 13" xfId="935"/>
    <cellStyle name="40% - Accent4 13 2" xfId="3231"/>
    <cellStyle name="40% - Accent4 13 2 2" xfId="26006"/>
    <cellStyle name="40% - Accent4 13 3" xfId="23710"/>
    <cellStyle name="40% - Accent4 14" xfId="1591"/>
    <cellStyle name="40% - Accent4 14 2" xfId="3887"/>
    <cellStyle name="40% - Accent4 14 2 2" xfId="26662"/>
    <cellStyle name="40% - Accent4 14 3" xfId="24366"/>
    <cellStyle name="40% - Accent4 15" xfId="4543"/>
    <cellStyle name="40% - Accent4 15 2" xfId="27318"/>
    <cellStyle name="40% - Accent4 16" xfId="5199"/>
    <cellStyle name="40% - Accent4 16 2" xfId="27974"/>
    <cellStyle name="40% - Accent4 17" xfId="5855"/>
    <cellStyle name="40% - Accent4 17 2" xfId="28630"/>
    <cellStyle name="40% - Accent4 18" xfId="2247"/>
    <cellStyle name="40% - Accent4 18 2" xfId="25022"/>
    <cellStyle name="40% - Accent4 19" xfId="6511"/>
    <cellStyle name="40% - Accent4 19 2" xfId="29286"/>
    <cellStyle name="40% - Accent4 2" xfId="75"/>
    <cellStyle name="40% - Accent4 2 10" xfId="5871"/>
    <cellStyle name="40% - Accent4 2 10 2" xfId="28646"/>
    <cellStyle name="40% - Accent4 2 11" xfId="2263"/>
    <cellStyle name="40% - Accent4 2 11 2" xfId="25038"/>
    <cellStyle name="40% - Accent4 2 12" xfId="6527"/>
    <cellStyle name="40% - Accent4 2 12 2" xfId="29302"/>
    <cellStyle name="40% - Accent4 2 13" xfId="7183"/>
    <cellStyle name="40% - Accent4 2 13 2" xfId="29958"/>
    <cellStyle name="40% - Accent4 2 14" xfId="7839"/>
    <cellStyle name="40% - Accent4 2 14 2" xfId="30614"/>
    <cellStyle name="40% - Accent4 2 15" xfId="8495"/>
    <cellStyle name="40% - Accent4 2 15 2" xfId="31270"/>
    <cellStyle name="40% - Accent4 2 16" xfId="9151"/>
    <cellStyle name="40% - Accent4 2 16 2" xfId="31926"/>
    <cellStyle name="40% - Accent4 2 17" xfId="9807"/>
    <cellStyle name="40% - Accent4 2 17 2" xfId="32582"/>
    <cellStyle name="40% - Accent4 2 18" xfId="10463"/>
    <cellStyle name="40% - Accent4 2 18 2" xfId="33238"/>
    <cellStyle name="40% - Accent4 2 19" xfId="11119"/>
    <cellStyle name="40% - Accent4 2 19 2" xfId="33894"/>
    <cellStyle name="40% - Accent4 2 2" xfId="151"/>
    <cellStyle name="40% - Accent4 2 2 10" xfId="2349"/>
    <cellStyle name="40% - Accent4 2 2 10 2" xfId="25124"/>
    <cellStyle name="40% - Accent4 2 2 11" xfId="6613"/>
    <cellStyle name="40% - Accent4 2 2 11 2" xfId="29388"/>
    <cellStyle name="40% - Accent4 2 2 12" xfId="7269"/>
    <cellStyle name="40% - Accent4 2 2 12 2" xfId="30044"/>
    <cellStyle name="40% - Accent4 2 2 13" xfId="7925"/>
    <cellStyle name="40% - Accent4 2 2 13 2" xfId="30700"/>
    <cellStyle name="40% - Accent4 2 2 14" xfId="8581"/>
    <cellStyle name="40% - Accent4 2 2 14 2" xfId="31356"/>
    <cellStyle name="40% - Accent4 2 2 15" xfId="9237"/>
    <cellStyle name="40% - Accent4 2 2 15 2" xfId="32012"/>
    <cellStyle name="40% - Accent4 2 2 16" xfId="9893"/>
    <cellStyle name="40% - Accent4 2 2 16 2" xfId="32668"/>
    <cellStyle name="40% - Accent4 2 2 17" xfId="10549"/>
    <cellStyle name="40% - Accent4 2 2 17 2" xfId="33324"/>
    <cellStyle name="40% - Accent4 2 2 18" xfId="11205"/>
    <cellStyle name="40% - Accent4 2 2 18 2" xfId="33980"/>
    <cellStyle name="40% - Accent4 2 2 19" xfId="11861"/>
    <cellStyle name="40% - Accent4 2 2 19 2" xfId="34636"/>
    <cellStyle name="40% - Accent4 2 2 2" xfId="565"/>
    <cellStyle name="40% - Accent4 2 2 2 10" xfId="6798"/>
    <cellStyle name="40% - Accent4 2 2 2 10 2" xfId="29573"/>
    <cellStyle name="40% - Accent4 2 2 2 11" xfId="7454"/>
    <cellStyle name="40% - Accent4 2 2 2 11 2" xfId="30229"/>
    <cellStyle name="40% - Accent4 2 2 2 12" xfId="8110"/>
    <cellStyle name="40% - Accent4 2 2 2 12 2" xfId="30885"/>
    <cellStyle name="40% - Accent4 2 2 2 13" xfId="8766"/>
    <cellStyle name="40% - Accent4 2 2 2 13 2" xfId="31541"/>
    <cellStyle name="40% - Accent4 2 2 2 14" xfId="9422"/>
    <cellStyle name="40% - Accent4 2 2 2 14 2" xfId="32197"/>
    <cellStyle name="40% - Accent4 2 2 2 15" xfId="10078"/>
    <cellStyle name="40% - Accent4 2 2 2 15 2" xfId="32853"/>
    <cellStyle name="40% - Accent4 2 2 2 16" xfId="10734"/>
    <cellStyle name="40% - Accent4 2 2 2 16 2" xfId="33509"/>
    <cellStyle name="40% - Accent4 2 2 2 17" xfId="11390"/>
    <cellStyle name="40% - Accent4 2 2 2 17 2" xfId="34165"/>
    <cellStyle name="40% - Accent4 2 2 2 18" xfId="12046"/>
    <cellStyle name="40% - Accent4 2 2 2 18 2" xfId="34821"/>
    <cellStyle name="40% - Accent4 2 2 2 19" xfId="12702"/>
    <cellStyle name="40% - Accent4 2 2 2 19 2" xfId="35477"/>
    <cellStyle name="40% - Accent4 2 2 2 2" xfId="894"/>
    <cellStyle name="40% - Accent4 2 2 2 2 10" xfId="8438"/>
    <cellStyle name="40% - Accent4 2 2 2 2 10 2" xfId="31213"/>
    <cellStyle name="40% - Accent4 2 2 2 2 11" xfId="9094"/>
    <cellStyle name="40% - Accent4 2 2 2 2 11 2" xfId="31869"/>
    <cellStyle name="40% - Accent4 2 2 2 2 12" xfId="9750"/>
    <cellStyle name="40% - Accent4 2 2 2 2 12 2" xfId="32525"/>
    <cellStyle name="40% - Accent4 2 2 2 2 13" xfId="10406"/>
    <cellStyle name="40% - Accent4 2 2 2 2 13 2" xfId="33181"/>
    <cellStyle name="40% - Accent4 2 2 2 2 14" xfId="11062"/>
    <cellStyle name="40% - Accent4 2 2 2 2 14 2" xfId="33837"/>
    <cellStyle name="40% - Accent4 2 2 2 2 15" xfId="11718"/>
    <cellStyle name="40% - Accent4 2 2 2 2 15 2" xfId="34493"/>
    <cellStyle name="40% - Accent4 2 2 2 2 16" xfId="12374"/>
    <cellStyle name="40% - Accent4 2 2 2 2 16 2" xfId="35149"/>
    <cellStyle name="40% - Accent4 2 2 2 2 17" xfId="13030"/>
    <cellStyle name="40% - Accent4 2 2 2 2 17 2" xfId="35805"/>
    <cellStyle name="40% - Accent4 2 2 2 2 18" xfId="13686"/>
    <cellStyle name="40% - Accent4 2 2 2 2 18 2" xfId="36461"/>
    <cellStyle name="40% - Accent4 2 2 2 2 19" xfId="14342"/>
    <cellStyle name="40% - Accent4 2 2 2 2 19 2" xfId="37117"/>
    <cellStyle name="40% - Accent4 2 2 2 2 2" xfId="1550"/>
    <cellStyle name="40% - Accent4 2 2 2 2 2 2" xfId="3846"/>
    <cellStyle name="40% - Accent4 2 2 2 2 2 2 2" xfId="26621"/>
    <cellStyle name="40% - Accent4 2 2 2 2 2 3" xfId="24325"/>
    <cellStyle name="40% - Accent4 2 2 2 2 20" xfId="14998"/>
    <cellStyle name="40% - Accent4 2 2 2 2 20 2" xfId="37773"/>
    <cellStyle name="40% - Accent4 2 2 2 2 21" xfId="15654"/>
    <cellStyle name="40% - Accent4 2 2 2 2 21 2" xfId="38429"/>
    <cellStyle name="40% - Accent4 2 2 2 2 22" xfId="16310"/>
    <cellStyle name="40% - Accent4 2 2 2 2 22 2" xfId="39085"/>
    <cellStyle name="40% - Accent4 2 2 2 2 23" xfId="16966"/>
    <cellStyle name="40% - Accent4 2 2 2 2 23 2" xfId="39741"/>
    <cellStyle name="40% - Accent4 2 2 2 2 24" xfId="17622"/>
    <cellStyle name="40% - Accent4 2 2 2 2 24 2" xfId="40397"/>
    <cellStyle name="40% - Accent4 2 2 2 2 25" xfId="18278"/>
    <cellStyle name="40% - Accent4 2 2 2 2 25 2" xfId="41053"/>
    <cellStyle name="40% - Accent4 2 2 2 2 26" xfId="18934"/>
    <cellStyle name="40% - Accent4 2 2 2 2 26 2" xfId="41709"/>
    <cellStyle name="40% - Accent4 2 2 2 2 27" xfId="19590"/>
    <cellStyle name="40% - Accent4 2 2 2 2 27 2" xfId="42365"/>
    <cellStyle name="40% - Accent4 2 2 2 2 28" xfId="20246"/>
    <cellStyle name="40% - Accent4 2 2 2 2 28 2" xfId="43021"/>
    <cellStyle name="40% - Accent4 2 2 2 2 29" xfId="20902"/>
    <cellStyle name="40% - Accent4 2 2 2 2 29 2" xfId="43677"/>
    <cellStyle name="40% - Accent4 2 2 2 2 3" xfId="2206"/>
    <cellStyle name="40% - Accent4 2 2 2 2 3 2" xfId="4502"/>
    <cellStyle name="40% - Accent4 2 2 2 2 3 2 2" xfId="27277"/>
    <cellStyle name="40% - Accent4 2 2 2 2 3 3" xfId="24981"/>
    <cellStyle name="40% - Accent4 2 2 2 2 30" xfId="21558"/>
    <cellStyle name="40% - Accent4 2 2 2 2 30 2" xfId="44333"/>
    <cellStyle name="40% - Accent4 2 2 2 2 31" xfId="22214"/>
    <cellStyle name="40% - Accent4 2 2 2 2 31 2" xfId="44989"/>
    <cellStyle name="40% - Accent4 2 2 2 2 32" xfId="22870"/>
    <cellStyle name="40% - Accent4 2 2 2 2 32 2" xfId="45645"/>
    <cellStyle name="40% - Accent4 2 2 2 2 33" xfId="23669"/>
    <cellStyle name="40% - Accent4 2 2 2 2 4" xfId="5158"/>
    <cellStyle name="40% - Accent4 2 2 2 2 4 2" xfId="27933"/>
    <cellStyle name="40% - Accent4 2 2 2 2 5" xfId="5814"/>
    <cellStyle name="40% - Accent4 2 2 2 2 5 2" xfId="28589"/>
    <cellStyle name="40% - Accent4 2 2 2 2 6" xfId="6470"/>
    <cellStyle name="40% - Accent4 2 2 2 2 6 2" xfId="29245"/>
    <cellStyle name="40% - Accent4 2 2 2 2 7" xfId="3190"/>
    <cellStyle name="40% - Accent4 2 2 2 2 7 2" xfId="25965"/>
    <cellStyle name="40% - Accent4 2 2 2 2 8" xfId="7126"/>
    <cellStyle name="40% - Accent4 2 2 2 2 8 2" xfId="29901"/>
    <cellStyle name="40% - Accent4 2 2 2 2 9" xfId="7782"/>
    <cellStyle name="40% - Accent4 2 2 2 2 9 2" xfId="30557"/>
    <cellStyle name="40% - Accent4 2 2 2 20" xfId="13358"/>
    <cellStyle name="40% - Accent4 2 2 2 20 2" xfId="36133"/>
    <cellStyle name="40% - Accent4 2 2 2 21" xfId="14014"/>
    <cellStyle name="40% - Accent4 2 2 2 21 2" xfId="36789"/>
    <cellStyle name="40% - Accent4 2 2 2 22" xfId="14670"/>
    <cellStyle name="40% - Accent4 2 2 2 22 2" xfId="37445"/>
    <cellStyle name="40% - Accent4 2 2 2 23" xfId="15326"/>
    <cellStyle name="40% - Accent4 2 2 2 23 2" xfId="38101"/>
    <cellStyle name="40% - Accent4 2 2 2 24" xfId="15982"/>
    <cellStyle name="40% - Accent4 2 2 2 24 2" xfId="38757"/>
    <cellStyle name="40% - Accent4 2 2 2 25" xfId="16638"/>
    <cellStyle name="40% - Accent4 2 2 2 25 2" xfId="39413"/>
    <cellStyle name="40% - Accent4 2 2 2 26" xfId="17294"/>
    <cellStyle name="40% - Accent4 2 2 2 26 2" xfId="40069"/>
    <cellStyle name="40% - Accent4 2 2 2 27" xfId="17950"/>
    <cellStyle name="40% - Accent4 2 2 2 27 2" xfId="40725"/>
    <cellStyle name="40% - Accent4 2 2 2 28" xfId="18606"/>
    <cellStyle name="40% - Accent4 2 2 2 28 2" xfId="41381"/>
    <cellStyle name="40% - Accent4 2 2 2 29" xfId="19262"/>
    <cellStyle name="40% - Accent4 2 2 2 29 2" xfId="42037"/>
    <cellStyle name="40% - Accent4 2 2 2 3" xfId="1222"/>
    <cellStyle name="40% - Accent4 2 2 2 3 2" xfId="2862"/>
    <cellStyle name="40% - Accent4 2 2 2 3 2 2" xfId="25637"/>
    <cellStyle name="40% - Accent4 2 2 2 3 3" xfId="23997"/>
    <cellStyle name="40% - Accent4 2 2 2 30" xfId="19918"/>
    <cellStyle name="40% - Accent4 2 2 2 30 2" xfId="42693"/>
    <cellStyle name="40% - Accent4 2 2 2 31" xfId="20574"/>
    <cellStyle name="40% - Accent4 2 2 2 31 2" xfId="43349"/>
    <cellStyle name="40% - Accent4 2 2 2 32" xfId="21230"/>
    <cellStyle name="40% - Accent4 2 2 2 32 2" xfId="44005"/>
    <cellStyle name="40% - Accent4 2 2 2 33" xfId="21886"/>
    <cellStyle name="40% - Accent4 2 2 2 33 2" xfId="44661"/>
    <cellStyle name="40% - Accent4 2 2 2 34" xfId="22542"/>
    <cellStyle name="40% - Accent4 2 2 2 34 2" xfId="45317"/>
    <cellStyle name="40% - Accent4 2 2 2 35" xfId="23341"/>
    <cellStyle name="40% - Accent4 2 2 2 4" xfId="1878"/>
    <cellStyle name="40% - Accent4 2 2 2 4 2" xfId="3518"/>
    <cellStyle name="40% - Accent4 2 2 2 4 2 2" xfId="26293"/>
    <cellStyle name="40% - Accent4 2 2 2 4 3" xfId="24653"/>
    <cellStyle name="40% - Accent4 2 2 2 5" xfId="4174"/>
    <cellStyle name="40% - Accent4 2 2 2 5 2" xfId="26949"/>
    <cellStyle name="40% - Accent4 2 2 2 6" xfId="4830"/>
    <cellStyle name="40% - Accent4 2 2 2 6 2" xfId="27605"/>
    <cellStyle name="40% - Accent4 2 2 2 7" xfId="5486"/>
    <cellStyle name="40% - Accent4 2 2 2 7 2" xfId="28261"/>
    <cellStyle name="40% - Accent4 2 2 2 8" xfId="6142"/>
    <cellStyle name="40% - Accent4 2 2 2 8 2" xfId="28917"/>
    <cellStyle name="40% - Accent4 2 2 2 9" xfId="2534"/>
    <cellStyle name="40% - Accent4 2 2 2 9 2" xfId="25309"/>
    <cellStyle name="40% - Accent4 2 2 20" xfId="12517"/>
    <cellStyle name="40% - Accent4 2 2 20 2" xfId="35292"/>
    <cellStyle name="40% - Accent4 2 2 21" xfId="13173"/>
    <cellStyle name="40% - Accent4 2 2 21 2" xfId="35948"/>
    <cellStyle name="40% - Accent4 2 2 22" xfId="13829"/>
    <cellStyle name="40% - Accent4 2 2 22 2" xfId="36604"/>
    <cellStyle name="40% - Accent4 2 2 23" xfId="14485"/>
    <cellStyle name="40% - Accent4 2 2 23 2" xfId="37260"/>
    <cellStyle name="40% - Accent4 2 2 24" xfId="15141"/>
    <cellStyle name="40% - Accent4 2 2 24 2" xfId="37916"/>
    <cellStyle name="40% - Accent4 2 2 25" xfId="15797"/>
    <cellStyle name="40% - Accent4 2 2 25 2" xfId="38572"/>
    <cellStyle name="40% - Accent4 2 2 26" xfId="16453"/>
    <cellStyle name="40% - Accent4 2 2 26 2" xfId="39228"/>
    <cellStyle name="40% - Accent4 2 2 27" xfId="17109"/>
    <cellStyle name="40% - Accent4 2 2 27 2" xfId="39884"/>
    <cellStyle name="40% - Accent4 2 2 28" xfId="17765"/>
    <cellStyle name="40% - Accent4 2 2 28 2" xfId="40540"/>
    <cellStyle name="40% - Accent4 2 2 29" xfId="18421"/>
    <cellStyle name="40% - Accent4 2 2 29 2" xfId="41196"/>
    <cellStyle name="40% - Accent4 2 2 3" xfId="709"/>
    <cellStyle name="40% - Accent4 2 2 3 10" xfId="8253"/>
    <cellStyle name="40% - Accent4 2 2 3 10 2" xfId="31028"/>
    <cellStyle name="40% - Accent4 2 2 3 11" xfId="8909"/>
    <cellStyle name="40% - Accent4 2 2 3 11 2" xfId="31684"/>
    <cellStyle name="40% - Accent4 2 2 3 12" xfId="9565"/>
    <cellStyle name="40% - Accent4 2 2 3 12 2" xfId="32340"/>
    <cellStyle name="40% - Accent4 2 2 3 13" xfId="10221"/>
    <cellStyle name="40% - Accent4 2 2 3 13 2" xfId="32996"/>
    <cellStyle name="40% - Accent4 2 2 3 14" xfId="10877"/>
    <cellStyle name="40% - Accent4 2 2 3 14 2" xfId="33652"/>
    <cellStyle name="40% - Accent4 2 2 3 15" xfId="11533"/>
    <cellStyle name="40% - Accent4 2 2 3 15 2" xfId="34308"/>
    <cellStyle name="40% - Accent4 2 2 3 16" xfId="12189"/>
    <cellStyle name="40% - Accent4 2 2 3 16 2" xfId="34964"/>
    <cellStyle name="40% - Accent4 2 2 3 17" xfId="12845"/>
    <cellStyle name="40% - Accent4 2 2 3 17 2" xfId="35620"/>
    <cellStyle name="40% - Accent4 2 2 3 18" xfId="13501"/>
    <cellStyle name="40% - Accent4 2 2 3 18 2" xfId="36276"/>
    <cellStyle name="40% - Accent4 2 2 3 19" xfId="14157"/>
    <cellStyle name="40% - Accent4 2 2 3 19 2" xfId="36932"/>
    <cellStyle name="40% - Accent4 2 2 3 2" xfId="1365"/>
    <cellStyle name="40% - Accent4 2 2 3 2 2" xfId="3661"/>
    <cellStyle name="40% - Accent4 2 2 3 2 2 2" xfId="26436"/>
    <cellStyle name="40% - Accent4 2 2 3 2 3" xfId="24140"/>
    <cellStyle name="40% - Accent4 2 2 3 20" xfId="14813"/>
    <cellStyle name="40% - Accent4 2 2 3 20 2" xfId="37588"/>
    <cellStyle name="40% - Accent4 2 2 3 21" xfId="15469"/>
    <cellStyle name="40% - Accent4 2 2 3 21 2" xfId="38244"/>
    <cellStyle name="40% - Accent4 2 2 3 22" xfId="16125"/>
    <cellStyle name="40% - Accent4 2 2 3 22 2" xfId="38900"/>
    <cellStyle name="40% - Accent4 2 2 3 23" xfId="16781"/>
    <cellStyle name="40% - Accent4 2 2 3 23 2" xfId="39556"/>
    <cellStyle name="40% - Accent4 2 2 3 24" xfId="17437"/>
    <cellStyle name="40% - Accent4 2 2 3 24 2" xfId="40212"/>
    <cellStyle name="40% - Accent4 2 2 3 25" xfId="18093"/>
    <cellStyle name="40% - Accent4 2 2 3 25 2" xfId="40868"/>
    <cellStyle name="40% - Accent4 2 2 3 26" xfId="18749"/>
    <cellStyle name="40% - Accent4 2 2 3 26 2" xfId="41524"/>
    <cellStyle name="40% - Accent4 2 2 3 27" xfId="19405"/>
    <cellStyle name="40% - Accent4 2 2 3 27 2" xfId="42180"/>
    <cellStyle name="40% - Accent4 2 2 3 28" xfId="20061"/>
    <cellStyle name="40% - Accent4 2 2 3 28 2" xfId="42836"/>
    <cellStyle name="40% - Accent4 2 2 3 29" xfId="20717"/>
    <cellStyle name="40% - Accent4 2 2 3 29 2" xfId="43492"/>
    <cellStyle name="40% - Accent4 2 2 3 3" xfId="2021"/>
    <cellStyle name="40% - Accent4 2 2 3 3 2" xfId="4317"/>
    <cellStyle name="40% - Accent4 2 2 3 3 2 2" xfId="27092"/>
    <cellStyle name="40% - Accent4 2 2 3 3 3" xfId="24796"/>
    <cellStyle name="40% - Accent4 2 2 3 30" xfId="21373"/>
    <cellStyle name="40% - Accent4 2 2 3 30 2" xfId="44148"/>
    <cellStyle name="40% - Accent4 2 2 3 31" xfId="22029"/>
    <cellStyle name="40% - Accent4 2 2 3 31 2" xfId="44804"/>
    <cellStyle name="40% - Accent4 2 2 3 32" xfId="22685"/>
    <cellStyle name="40% - Accent4 2 2 3 32 2" xfId="45460"/>
    <cellStyle name="40% - Accent4 2 2 3 33" xfId="23484"/>
    <cellStyle name="40% - Accent4 2 2 3 4" xfId="4973"/>
    <cellStyle name="40% - Accent4 2 2 3 4 2" xfId="27748"/>
    <cellStyle name="40% - Accent4 2 2 3 5" xfId="5629"/>
    <cellStyle name="40% - Accent4 2 2 3 5 2" xfId="28404"/>
    <cellStyle name="40% - Accent4 2 2 3 6" xfId="6285"/>
    <cellStyle name="40% - Accent4 2 2 3 6 2" xfId="29060"/>
    <cellStyle name="40% - Accent4 2 2 3 7" xfId="3005"/>
    <cellStyle name="40% - Accent4 2 2 3 7 2" xfId="25780"/>
    <cellStyle name="40% - Accent4 2 2 3 8" xfId="6941"/>
    <cellStyle name="40% - Accent4 2 2 3 8 2" xfId="29716"/>
    <cellStyle name="40% - Accent4 2 2 3 9" xfId="7597"/>
    <cellStyle name="40% - Accent4 2 2 3 9 2" xfId="30372"/>
    <cellStyle name="40% - Accent4 2 2 30" xfId="19077"/>
    <cellStyle name="40% - Accent4 2 2 30 2" xfId="41852"/>
    <cellStyle name="40% - Accent4 2 2 31" xfId="19733"/>
    <cellStyle name="40% - Accent4 2 2 31 2" xfId="42508"/>
    <cellStyle name="40% - Accent4 2 2 32" xfId="20389"/>
    <cellStyle name="40% - Accent4 2 2 32 2" xfId="43164"/>
    <cellStyle name="40% - Accent4 2 2 33" xfId="21045"/>
    <cellStyle name="40% - Accent4 2 2 33 2" xfId="43820"/>
    <cellStyle name="40% - Accent4 2 2 34" xfId="21701"/>
    <cellStyle name="40% - Accent4 2 2 34 2" xfId="44476"/>
    <cellStyle name="40% - Accent4 2 2 35" xfId="22357"/>
    <cellStyle name="40% - Accent4 2 2 35 2" xfId="45132"/>
    <cellStyle name="40% - Accent4 2 2 36" xfId="23013"/>
    <cellStyle name="40% - Accent4 2 2 4" xfId="382"/>
    <cellStyle name="40% - Accent4 2 2 4 2" xfId="2677"/>
    <cellStyle name="40% - Accent4 2 2 4 2 2" xfId="25452"/>
    <cellStyle name="40% - Accent4 2 2 4 3" xfId="23156"/>
    <cellStyle name="40% - Accent4 2 2 5" xfId="1037"/>
    <cellStyle name="40% - Accent4 2 2 5 2" xfId="3333"/>
    <cellStyle name="40% - Accent4 2 2 5 2 2" xfId="26108"/>
    <cellStyle name="40% - Accent4 2 2 5 3" xfId="23812"/>
    <cellStyle name="40% - Accent4 2 2 6" xfId="1693"/>
    <cellStyle name="40% - Accent4 2 2 6 2" xfId="3989"/>
    <cellStyle name="40% - Accent4 2 2 6 2 2" xfId="26764"/>
    <cellStyle name="40% - Accent4 2 2 6 3" xfId="24468"/>
    <cellStyle name="40% - Accent4 2 2 7" xfId="4645"/>
    <cellStyle name="40% - Accent4 2 2 7 2" xfId="27420"/>
    <cellStyle name="40% - Accent4 2 2 8" xfId="5301"/>
    <cellStyle name="40% - Accent4 2 2 8 2" xfId="28076"/>
    <cellStyle name="40% - Accent4 2 2 9" xfId="5957"/>
    <cellStyle name="40% - Accent4 2 2 9 2" xfId="28732"/>
    <cellStyle name="40% - Accent4 2 20" xfId="11775"/>
    <cellStyle name="40% - Accent4 2 20 2" xfId="34550"/>
    <cellStyle name="40% - Accent4 2 21" xfId="12431"/>
    <cellStyle name="40% - Accent4 2 21 2" xfId="35206"/>
    <cellStyle name="40% - Accent4 2 22" xfId="13087"/>
    <cellStyle name="40% - Accent4 2 22 2" xfId="35862"/>
    <cellStyle name="40% - Accent4 2 23" xfId="13743"/>
    <cellStyle name="40% - Accent4 2 23 2" xfId="36518"/>
    <cellStyle name="40% - Accent4 2 24" xfId="14399"/>
    <cellStyle name="40% - Accent4 2 24 2" xfId="37174"/>
    <cellStyle name="40% - Accent4 2 25" xfId="15055"/>
    <cellStyle name="40% - Accent4 2 25 2" xfId="37830"/>
    <cellStyle name="40% - Accent4 2 26" xfId="15711"/>
    <cellStyle name="40% - Accent4 2 26 2" xfId="38486"/>
    <cellStyle name="40% - Accent4 2 27" xfId="16367"/>
    <cellStyle name="40% - Accent4 2 27 2" xfId="39142"/>
    <cellStyle name="40% - Accent4 2 28" xfId="17023"/>
    <cellStyle name="40% - Accent4 2 28 2" xfId="39798"/>
    <cellStyle name="40% - Accent4 2 29" xfId="17679"/>
    <cellStyle name="40% - Accent4 2 29 2" xfId="40454"/>
    <cellStyle name="40% - Accent4 2 3" xfId="481"/>
    <cellStyle name="40% - Accent4 2 3 10" xfId="6712"/>
    <cellStyle name="40% - Accent4 2 3 10 2" xfId="29487"/>
    <cellStyle name="40% - Accent4 2 3 11" xfId="7368"/>
    <cellStyle name="40% - Accent4 2 3 11 2" xfId="30143"/>
    <cellStyle name="40% - Accent4 2 3 12" xfId="8024"/>
    <cellStyle name="40% - Accent4 2 3 12 2" xfId="30799"/>
    <cellStyle name="40% - Accent4 2 3 13" xfId="8680"/>
    <cellStyle name="40% - Accent4 2 3 13 2" xfId="31455"/>
    <cellStyle name="40% - Accent4 2 3 14" xfId="9336"/>
    <cellStyle name="40% - Accent4 2 3 14 2" xfId="32111"/>
    <cellStyle name="40% - Accent4 2 3 15" xfId="9992"/>
    <cellStyle name="40% - Accent4 2 3 15 2" xfId="32767"/>
    <cellStyle name="40% - Accent4 2 3 16" xfId="10648"/>
    <cellStyle name="40% - Accent4 2 3 16 2" xfId="33423"/>
    <cellStyle name="40% - Accent4 2 3 17" xfId="11304"/>
    <cellStyle name="40% - Accent4 2 3 17 2" xfId="34079"/>
    <cellStyle name="40% - Accent4 2 3 18" xfId="11960"/>
    <cellStyle name="40% - Accent4 2 3 18 2" xfId="34735"/>
    <cellStyle name="40% - Accent4 2 3 19" xfId="12616"/>
    <cellStyle name="40% - Accent4 2 3 19 2" xfId="35391"/>
    <cellStyle name="40% - Accent4 2 3 2" xfId="808"/>
    <cellStyle name="40% - Accent4 2 3 2 10" xfId="8352"/>
    <cellStyle name="40% - Accent4 2 3 2 10 2" xfId="31127"/>
    <cellStyle name="40% - Accent4 2 3 2 11" xfId="9008"/>
    <cellStyle name="40% - Accent4 2 3 2 11 2" xfId="31783"/>
    <cellStyle name="40% - Accent4 2 3 2 12" xfId="9664"/>
    <cellStyle name="40% - Accent4 2 3 2 12 2" xfId="32439"/>
    <cellStyle name="40% - Accent4 2 3 2 13" xfId="10320"/>
    <cellStyle name="40% - Accent4 2 3 2 13 2" xfId="33095"/>
    <cellStyle name="40% - Accent4 2 3 2 14" xfId="10976"/>
    <cellStyle name="40% - Accent4 2 3 2 14 2" xfId="33751"/>
    <cellStyle name="40% - Accent4 2 3 2 15" xfId="11632"/>
    <cellStyle name="40% - Accent4 2 3 2 15 2" xfId="34407"/>
    <cellStyle name="40% - Accent4 2 3 2 16" xfId="12288"/>
    <cellStyle name="40% - Accent4 2 3 2 16 2" xfId="35063"/>
    <cellStyle name="40% - Accent4 2 3 2 17" xfId="12944"/>
    <cellStyle name="40% - Accent4 2 3 2 17 2" xfId="35719"/>
    <cellStyle name="40% - Accent4 2 3 2 18" xfId="13600"/>
    <cellStyle name="40% - Accent4 2 3 2 18 2" xfId="36375"/>
    <cellStyle name="40% - Accent4 2 3 2 19" xfId="14256"/>
    <cellStyle name="40% - Accent4 2 3 2 19 2" xfId="37031"/>
    <cellStyle name="40% - Accent4 2 3 2 2" xfId="1464"/>
    <cellStyle name="40% - Accent4 2 3 2 2 2" xfId="3760"/>
    <cellStyle name="40% - Accent4 2 3 2 2 2 2" xfId="26535"/>
    <cellStyle name="40% - Accent4 2 3 2 2 3" xfId="24239"/>
    <cellStyle name="40% - Accent4 2 3 2 20" xfId="14912"/>
    <cellStyle name="40% - Accent4 2 3 2 20 2" xfId="37687"/>
    <cellStyle name="40% - Accent4 2 3 2 21" xfId="15568"/>
    <cellStyle name="40% - Accent4 2 3 2 21 2" xfId="38343"/>
    <cellStyle name="40% - Accent4 2 3 2 22" xfId="16224"/>
    <cellStyle name="40% - Accent4 2 3 2 22 2" xfId="38999"/>
    <cellStyle name="40% - Accent4 2 3 2 23" xfId="16880"/>
    <cellStyle name="40% - Accent4 2 3 2 23 2" xfId="39655"/>
    <cellStyle name="40% - Accent4 2 3 2 24" xfId="17536"/>
    <cellStyle name="40% - Accent4 2 3 2 24 2" xfId="40311"/>
    <cellStyle name="40% - Accent4 2 3 2 25" xfId="18192"/>
    <cellStyle name="40% - Accent4 2 3 2 25 2" xfId="40967"/>
    <cellStyle name="40% - Accent4 2 3 2 26" xfId="18848"/>
    <cellStyle name="40% - Accent4 2 3 2 26 2" xfId="41623"/>
    <cellStyle name="40% - Accent4 2 3 2 27" xfId="19504"/>
    <cellStyle name="40% - Accent4 2 3 2 27 2" xfId="42279"/>
    <cellStyle name="40% - Accent4 2 3 2 28" xfId="20160"/>
    <cellStyle name="40% - Accent4 2 3 2 28 2" xfId="42935"/>
    <cellStyle name="40% - Accent4 2 3 2 29" xfId="20816"/>
    <cellStyle name="40% - Accent4 2 3 2 29 2" xfId="43591"/>
    <cellStyle name="40% - Accent4 2 3 2 3" xfId="2120"/>
    <cellStyle name="40% - Accent4 2 3 2 3 2" xfId="4416"/>
    <cellStyle name="40% - Accent4 2 3 2 3 2 2" xfId="27191"/>
    <cellStyle name="40% - Accent4 2 3 2 3 3" xfId="24895"/>
    <cellStyle name="40% - Accent4 2 3 2 30" xfId="21472"/>
    <cellStyle name="40% - Accent4 2 3 2 30 2" xfId="44247"/>
    <cellStyle name="40% - Accent4 2 3 2 31" xfId="22128"/>
    <cellStyle name="40% - Accent4 2 3 2 31 2" xfId="44903"/>
    <cellStyle name="40% - Accent4 2 3 2 32" xfId="22784"/>
    <cellStyle name="40% - Accent4 2 3 2 32 2" xfId="45559"/>
    <cellStyle name="40% - Accent4 2 3 2 33" xfId="23583"/>
    <cellStyle name="40% - Accent4 2 3 2 4" xfId="5072"/>
    <cellStyle name="40% - Accent4 2 3 2 4 2" xfId="27847"/>
    <cellStyle name="40% - Accent4 2 3 2 5" xfId="5728"/>
    <cellStyle name="40% - Accent4 2 3 2 5 2" xfId="28503"/>
    <cellStyle name="40% - Accent4 2 3 2 6" xfId="6384"/>
    <cellStyle name="40% - Accent4 2 3 2 6 2" xfId="29159"/>
    <cellStyle name="40% - Accent4 2 3 2 7" xfId="3104"/>
    <cellStyle name="40% - Accent4 2 3 2 7 2" xfId="25879"/>
    <cellStyle name="40% - Accent4 2 3 2 8" xfId="7040"/>
    <cellStyle name="40% - Accent4 2 3 2 8 2" xfId="29815"/>
    <cellStyle name="40% - Accent4 2 3 2 9" xfId="7696"/>
    <cellStyle name="40% - Accent4 2 3 2 9 2" xfId="30471"/>
    <cellStyle name="40% - Accent4 2 3 20" xfId="13272"/>
    <cellStyle name="40% - Accent4 2 3 20 2" xfId="36047"/>
    <cellStyle name="40% - Accent4 2 3 21" xfId="13928"/>
    <cellStyle name="40% - Accent4 2 3 21 2" xfId="36703"/>
    <cellStyle name="40% - Accent4 2 3 22" xfId="14584"/>
    <cellStyle name="40% - Accent4 2 3 22 2" xfId="37359"/>
    <cellStyle name="40% - Accent4 2 3 23" xfId="15240"/>
    <cellStyle name="40% - Accent4 2 3 23 2" xfId="38015"/>
    <cellStyle name="40% - Accent4 2 3 24" xfId="15896"/>
    <cellStyle name="40% - Accent4 2 3 24 2" xfId="38671"/>
    <cellStyle name="40% - Accent4 2 3 25" xfId="16552"/>
    <cellStyle name="40% - Accent4 2 3 25 2" xfId="39327"/>
    <cellStyle name="40% - Accent4 2 3 26" xfId="17208"/>
    <cellStyle name="40% - Accent4 2 3 26 2" xfId="39983"/>
    <cellStyle name="40% - Accent4 2 3 27" xfId="17864"/>
    <cellStyle name="40% - Accent4 2 3 27 2" xfId="40639"/>
    <cellStyle name="40% - Accent4 2 3 28" xfId="18520"/>
    <cellStyle name="40% - Accent4 2 3 28 2" xfId="41295"/>
    <cellStyle name="40% - Accent4 2 3 29" xfId="19176"/>
    <cellStyle name="40% - Accent4 2 3 29 2" xfId="41951"/>
    <cellStyle name="40% - Accent4 2 3 3" xfId="1136"/>
    <cellStyle name="40% - Accent4 2 3 3 2" xfId="2776"/>
    <cellStyle name="40% - Accent4 2 3 3 2 2" xfId="25551"/>
    <cellStyle name="40% - Accent4 2 3 3 3" xfId="23911"/>
    <cellStyle name="40% - Accent4 2 3 30" xfId="19832"/>
    <cellStyle name="40% - Accent4 2 3 30 2" xfId="42607"/>
    <cellStyle name="40% - Accent4 2 3 31" xfId="20488"/>
    <cellStyle name="40% - Accent4 2 3 31 2" xfId="43263"/>
    <cellStyle name="40% - Accent4 2 3 32" xfId="21144"/>
    <cellStyle name="40% - Accent4 2 3 32 2" xfId="43919"/>
    <cellStyle name="40% - Accent4 2 3 33" xfId="21800"/>
    <cellStyle name="40% - Accent4 2 3 33 2" xfId="44575"/>
    <cellStyle name="40% - Accent4 2 3 34" xfId="22456"/>
    <cellStyle name="40% - Accent4 2 3 34 2" xfId="45231"/>
    <cellStyle name="40% - Accent4 2 3 35" xfId="23255"/>
    <cellStyle name="40% - Accent4 2 3 4" xfId="1792"/>
    <cellStyle name="40% - Accent4 2 3 4 2" xfId="3432"/>
    <cellStyle name="40% - Accent4 2 3 4 2 2" xfId="26207"/>
    <cellStyle name="40% - Accent4 2 3 4 3" xfId="24567"/>
    <cellStyle name="40% - Accent4 2 3 5" xfId="4088"/>
    <cellStyle name="40% - Accent4 2 3 5 2" xfId="26863"/>
    <cellStyle name="40% - Accent4 2 3 6" xfId="4744"/>
    <cellStyle name="40% - Accent4 2 3 6 2" xfId="27519"/>
    <cellStyle name="40% - Accent4 2 3 7" xfId="5400"/>
    <cellStyle name="40% - Accent4 2 3 7 2" xfId="28175"/>
    <cellStyle name="40% - Accent4 2 3 8" xfId="6056"/>
    <cellStyle name="40% - Accent4 2 3 8 2" xfId="28831"/>
    <cellStyle name="40% - Accent4 2 3 9" xfId="2448"/>
    <cellStyle name="40% - Accent4 2 3 9 2" xfId="25223"/>
    <cellStyle name="40% - Accent4 2 30" xfId="18335"/>
    <cellStyle name="40% - Accent4 2 30 2" xfId="41110"/>
    <cellStyle name="40% - Accent4 2 31" xfId="18991"/>
    <cellStyle name="40% - Accent4 2 31 2" xfId="41766"/>
    <cellStyle name="40% - Accent4 2 32" xfId="19647"/>
    <cellStyle name="40% - Accent4 2 32 2" xfId="42422"/>
    <cellStyle name="40% - Accent4 2 33" xfId="20303"/>
    <cellStyle name="40% - Accent4 2 33 2" xfId="43078"/>
    <cellStyle name="40% - Accent4 2 34" xfId="20959"/>
    <cellStyle name="40% - Accent4 2 34 2" xfId="43734"/>
    <cellStyle name="40% - Accent4 2 35" xfId="21615"/>
    <cellStyle name="40% - Accent4 2 35 2" xfId="44390"/>
    <cellStyle name="40% - Accent4 2 36" xfId="22271"/>
    <cellStyle name="40% - Accent4 2 36 2" xfId="45046"/>
    <cellStyle name="40% - Accent4 2 37" xfId="210"/>
    <cellStyle name="40% - Accent4 2 38" xfId="22927"/>
    <cellStyle name="40% - Accent4 2 4" xfId="623"/>
    <cellStyle name="40% - Accent4 2 4 10" xfId="8167"/>
    <cellStyle name="40% - Accent4 2 4 10 2" xfId="30942"/>
    <cellStyle name="40% - Accent4 2 4 11" xfId="8823"/>
    <cellStyle name="40% - Accent4 2 4 11 2" xfId="31598"/>
    <cellStyle name="40% - Accent4 2 4 12" xfId="9479"/>
    <cellStyle name="40% - Accent4 2 4 12 2" xfId="32254"/>
    <cellStyle name="40% - Accent4 2 4 13" xfId="10135"/>
    <cellStyle name="40% - Accent4 2 4 13 2" xfId="32910"/>
    <cellStyle name="40% - Accent4 2 4 14" xfId="10791"/>
    <cellStyle name="40% - Accent4 2 4 14 2" xfId="33566"/>
    <cellStyle name="40% - Accent4 2 4 15" xfId="11447"/>
    <cellStyle name="40% - Accent4 2 4 15 2" xfId="34222"/>
    <cellStyle name="40% - Accent4 2 4 16" xfId="12103"/>
    <cellStyle name="40% - Accent4 2 4 16 2" xfId="34878"/>
    <cellStyle name="40% - Accent4 2 4 17" xfId="12759"/>
    <cellStyle name="40% - Accent4 2 4 17 2" xfId="35534"/>
    <cellStyle name="40% - Accent4 2 4 18" xfId="13415"/>
    <cellStyle name="40% - Accent4 2 4 18 2" xfId="36190"/>
    <cellStyle name="40% - Accent4 2 4 19" xfId="14071"/>
    <cellStyle name="40% - Accent4 2 4 19 2" xfId="36846"/>
    <cellStyle name="40% - Accent4 2 4 2" xfId="1279"/>
    <cellStyle name="40% - Accent4 2 4 2 2" xfId="3575"/>
    <cellStyle name="40% - Accent4 2 4 2 2 2" xfId="26350"/>
    <cellStyle name="40% - Accent4 2 4 2 3" xfId="24054"/>
    <cellStyle name="40% - Accent4 2 4 20" xfId="14727"/>
    <cellStyle name="40% - Accent4 2 4 20 2" xfId="37502"/>
    <cellStyle name="40% - Accent4 2 4 21" xfId="15383"/>
    <cellStyle name="40% - Accent4 2 4 21 2" xfId="38158"/>
    <cellStyle name="40% - Accent4 2 4 22" xfId="16039"/>
    <cellStyle name="40% - Accent4 2 4 22 2" xfId="38814"/>
    <cellStyle name="40% - Accent4 2 4 23" xfId="16695"/>
    <cellStyle name="40% - Accent4 2 4 23 2" xfId="39470"/>
    <cellStyle name="40% - Accent4 2 4 24" xfId="17351"/>
    <cellStyle name="40% - Accent4 2 4 24 2" xfId="40126"/>
    <cellStyle name="40% - Accent4 2 4 25" xfId="18007"/>
    <cellStyle name="40% - Accent4 2 4 25 2" xfId="40782"/>
    <cellStyle name="40% - Accent4 2 4 26" xfId="18663"/>
    <cellStyle name="40% - Accent4 2 4 26 2" xfId="41438"/>
    <cellStyle name="40% - Accent4 2 4 27" xfId="19319"/>
    <cellStyle name="40% - Accent4 2 4 27 2" xfId="42094"/>
    <cellStyle name="40% - Accent4 2 4 28" xfId="19975"/>
    <cellStyle name="40% - Accent4 2 4 28 2" xfId="42750"/>
    <cellStyle name="40% - Accent4 2 4 29" xfId="20631"/>
    <cellStyle name="40% - Accent4 2 4 29 2" xfId="43406"/>
    <cellStyle name="40% - Accent4 2 4 3" xfId="1935"/>
    <cellStyle name="40% - Accent4 2 4 3 2" xfId="4231"/>
    <cellStyle name="40% - Accent4 2 4 3 2 2" xfId="27006"/>
    <cellStyle name="40% - Accent4 2 4 3 3" xfId="24710"/>
    <cellStyle name="40% - Accent4 2 4 30" xfId="21287"/>
    <cellStyle name="40% - Accent4 2 4 30 2" xfId="44062"/>
    <cellStyle name="40% - Accent4 2 4 31" xfId="21943"/>
    <cellStyle name="40% - Accent4 2 4 31 2" xfId="44718"/>
    <cellStyle name="40% - Accent4 2 4 32" xfId="22599"/>
    <cellStyle name="40% - Accent4 2 4 32 2" xfId="45374"/>
    <cellStyle name="40% - Accent4 2 4 33" xfId="23398"/>
    <cellStyle name="40% - Accent4 2 4 4" xfId="4887"/>
    <cellStyle name="40% - Accent4 2 4 4 2" xfId="27662"/>
    <cellStyle name="40% - Accent4 2 4 5" xfId="5543"/>
    <cellStyle name="40% - Accent4 2 4 5 2" xfId="28318"/>
    <cellStyle name="40% - Accent4 2 4 6" xfId="6199"/>
    <cellStyle name="40% - Accent4 2 4 6 2" xfId="28974"/>
    <cellStyle name="40% - Accent4 2 4 7" xfId="2919"/>
    <cellStyle name="40% - Accent4 2 4 7 2" xfId="25694"/>
    <cellStyle name="40% - Accent4 2 4 8" xfId="6855"/>
    <cellStyle name="40% - Accent4 2 4 8 2" xfId="29630"/>
    <cellStyle name="40% - Accent4 2 4 9" xfId="7511"/>
    <cellStyle name="40% - Accent4 2 4 9 2" xfId="30286"/>
    <cellStyle name="40% - Accent4 2 5" xfId="296"/>
    <cellStyle name="40% - Accent4 2 5 2" xfId="2591"/>
    <cellStyle name="40% - Accent4 2 5 2 2" xfId="25366"/>
    <cellStyle name="40% - Accent4 2 5 3" xfId="23070"/>
    <cellStyle name="40% - Accent4 2 6" xfId="951"/>
    <cellStyle name="40% - Accent4 2 6 2" xfId="3247"/>
    <cellStyle name="40% - Accent4 2 6 2 2" xfId="26022"/>
    <cellStyle name="40% - Accent4 2 6 3" xfId="23726"/>
    <cellStyle name="40% - Accent4 2 7" xfId="1607"/>
    <cellStyle name="40% - Accent4 2 7 2" xfId="3903"/>
    <cellStyle name="40% - Accent4 2 7 2 2" xfId="26678"/>
    <cellStyle name="40% - Accent4 2 7 3" xfId="24382"/>
    <cellStyle name="40% - Accent4 2 8" xfId="4559"/>
    <cellStyle name="40% - Accent4 2 8 2" xfId="27334"/>
    <cellStyle name="40% - Accent4 2 9" xfId="5215"/>
    <cellStyle name="40% - Accent4 2 9 2" xfId="27990"/>
    <cellStyle name="40% - Accent4 20" xfId="7167"/>
    <cellStyle name="40% - Accent4 20 2" xfId="29942"/>
    <cellStyle name="40% - Accent4 21" xfId="7823"/>
    <cellStyle name="40% - Accent4 21 2" xfId="30598"/>
    <cellStyle name="40% - Accent4 22" xfId="8479"/>
    <cellStyle name="40% - Accent4 22 2" xfId="31254"/>
    <cellStyle name="40% - Accent4 23" xfId="9135"/>
    <cellStyle name="40% - Accent4 23 2" xfId="31910"/>
    <cellStyle name="40% - Accent4 24" xfId="9791"/>
    <cellStyle name="40% - Accent4 24 2" xfId="32566"/>
    <cellStyle name="40% - Accent4 25" xfId="10447"/>
    <cellStyle name="40% - Accent4 25 2" xfId="33222"/>
    <cellStyle name="40% - Accent4 26" xfId="11103"/>
    <cellStyle name="40% - Accent4 26 2" xfId="33878"/>
    <cellStyle name="40% - Accent4 27" xfId="11759"/>
    <cellStyle name="40% - Accent4 27 2" xfId="34534"/>
    <cellStyle name="40% - Accent4 28" xfId="12415"/>
    <cellStyle name="40% - Accent4 28 2" xfId="35190"/>
    <cellStyle name="40% - Accent4 29" xfId="13071"/>
    <cellStyle name="40% - Accent4 29 2" xfId="35846"/>
    <cellStyle name="40% - Accent4 3" xfId="59"/>
    <cellStyle name="40% - Accent4 3 10" xfId="5886"/>
    <cellStyle name="40% - Accent4 3 10 2" xfId="28661"/>
    <cellStyle name="40% - Accent4 3 11" xfId="2278"/>
    <cellStyle name="40% - Accent4 3 11 2" xfId="25053"/>
    <cellStyle name="40% - Accent4 3 12" xfId="6542"/>
    <cellStyle name="40% - Accent4 3 12 2" xfId="29317"/>
    <cellStyle name="40% - Accent4 3 13" xfId="7198"/>
    <cellStyle name="40% - Accent4 3 13 2" xfId="29973"/>
    <cellStyle name="40% - Accent4 3 14" xfId="7854"/>
    <cellStyle name="40% - Accent4 3 14 2" xfId="30629"/>
    <cellStyle name="40% - Accent4 3 15" xfId="8510"/>
    <cellStyle name="40% - Accent4 3 15 2" xfId="31285"/>
    <cellStyle name="40% - Accent4 3 16" xfId="9166"/>
    <cellStyle name="40% - Accent4 3 16 2" xfId="31941"/>
    <cellStyle name="40% - Accent4 3 17" xfId="9822"/>
    <cellStyle name="40% - Accent4 3 17 2" xfId="32597"/>
    <cellStyle name="40% - Accent4 3 18" xfId="10478"/>
    <cellStyle name="40% - Accent4 3 18 2" xfId="33253"/>
    <cellStyle name="40% - Accent4 3 19" xfId="11134"/>
    <cellStyle name="40% - Accent4 3 19 2" xfId="33909"/>
    <cellStyle name="40% - Accent4 3 2" xfId="137"/>
    <cellStyle name="40% - Accent4 3 2 10" xfId="2333"/>
    <cellStyle name="40% - Accent4 3 2 10 2" xfId="25108"/>
    <cellStyle name="40% - Accent4 3 2 11" xfId="6597"/>
    <cellStyle name="40% - Accent4 3 2 11 2" xfId="29372"/>
    <cellStyle name="40% - Accent4 3 2 12" xfId="7253"/>
    <cellStyle name="40% - Accent4 3 2 12 2" xfId="30028"/>
    <cellStyle name="40% - Accent4 3 2 13" xfId="7909"/>
    <cellStyle name="40% - Accent4 3 2 13 2" xfId="30684"/>
    <cellStyle name="40% - Accent4 3 2 14" xfId="8565"/>
    <cellStyle name="40% - Accent4 3 2 14 2" xfId="31340"/>
    <cellStyle name="40% - Accent4 3 2 15" xfId="9221"/>
    <cellStyle name="40% - Accent4 3 2 15 2" xfId="31996"/>
    <cellStyle name="40% - Accent4 3 2 16" xfId="9877"/>
    <cellStyle name="40% - Accent4 3 2 16 2" xfId="32652"/>
    <cellStyle name="40% - Accent4 3 2 17" xfId="10533"/>
    <cellStyle name="40% - Accent4 3 2 17 2" xfId="33308"/>
    <cellStyle name="40% - Accent4 3 2 18" xfId="11189"/>
    <cellStyle name="40% - Accent4 3 2 18 2" xfId="33964"/>
    <cellStyle name="40% - Accent4 3 2 19" xfId="11845"/>
    <cellStyle name="40% - Accent4 3 2 19 2" xfId="34620"/>
    <cellStyle name="40% - Accent4 3 2 2" xfId="549"/>
    <cellStyle name="40% - Accent4 3 2 2 10" xfId="6782"/>
    <cellStyle name="40% - Accent4 3 2 2 10 2" xfId="29557"/>
    <cellStyle name="40% - Accent4 3 2 2 11" xfId="7438"/>
    <cellStyle name="40% - Accent4 3 2 2 11 2" xfId="30213"/>
    <cellStyle name="40% - Accent4 3 2 2 12" xfId="8094"/>
    <cellStyle name="40% - Accent4 3 2 2 12 2" xfId="30869"/>
    <cellStyle name="40% - Accent4 3 2 2 13" xfId="8750"/>
    <cellStyle name="40% - Accent4 3 2 2 13 2" xfId="31525"/>
    <cellStyle name="40% - Accent4 3 2 2 14" xfId="9406"/>
    <cellStyle name="40% - Accent4 3 2 2 14 2" xfId="32181"/>
    <cellStyle name="40% - Accent4 3 2 2 15" xfId="10062"/>
    <cellStyle name="40% - Accent4 3 2 2 15 2" xfId="32837"/>
    <cellStyle name="40% - Accent4 3 2 2 16" xfId="10718"/>
    <cellStyle name="40% - Accent4 3 2 2 16 2" xfId="33493"/>
    <cellStyle name="40% - Accent4 3 2 2 17" xfId="11374"/>
    <cellStyle name="40% - Accent4 3 2 2 17 2" xfId="34149"/>
    <cellStyle name="40% - Accent4 3 2 2 18" xfId="12030"/>
    <cellStyle name="40% - Accent4 3 2 2 18 2" xfId="34805"/>
    <cellStyle name="40% - Accent4 3 2 2 19" xfId="12686"/>
    <cellStyle name="40% - Accent4 3 2 2 19 2" xfId="35461"/>
    <cellStyle name="40% - Accent4 3 2 2 2" xfId="878"/>
    <cellStyle name="40% - Accent4 3 2 2 2 10" xfId="8422"/>
    <cellStyle name="40% - Accent4 3 2 2 2 10 2" xfId="31197"/>
    <cellStyle name="40% - Accent4 3 2 2 2 11" xfId="9078"/>
    <cellStyle name="40% - Accent4 3 2 2 2 11 2" xfId="31853"/>
    <cellStyle name="40% - Accent4 3 2 2 2 12" xfId="9734"/>
    <cellStyle name="40% - Accent4 3 2 2 2 12 2" xfId="32509"/>
    <cellStyle name="40% - Accent4 3 2 2 2 13" xfId="10390"/>
    <cellStyle name="40% - Accent4 3 2 2 2 13 2" xfId="33165"/>
    <cellStyle name="40% - Accent4 3 2 2 2 14" xfId="11046"/>
    <cellStyle name="40% - Accent4 3 2 2 2 14 2" xfId="33821"/>
    <cellStyle name="40% - Accent4 3 2 2 2 15" xfId="11702"/>
    <cellStyle name="40% - Accent4 3 2 2 2 15 2" xfId="34477"/>
    <cellStyle name="40% - Accent4 3 2 2 2 16" xfId="12358"/>
    <cellStyle name="40% - Accent4 3 2 2 2 16 2" xfId="35133"/>
    <cellStyle name="40% - Accent4 3 2 2 2 17" xfId="13014"/>
    <cellStyle name="40% - Accent4 3 2 2 2 17 2" xfId="35789"/>
    <cellStyle name="40% - Accent4 3 2 2 2 18" xfId="13670"/>
    <cellStyle name="40% - Accent4 3 2 2 2 18 2" xfId="36445"/>
    <cellStyle name="40% - Accent4 3 2 2 2 19" xfId="14326"/>
    <cellStyle name="40% - Accent4 3 2 2 2 19 2" xfId="37101"/>
    <cellStyle name="40% - Accent4 3 2 2 2 2" xfId="1534"/>
    <cellStyle name="40% - Accent4 3 2 2 2 2 2" xfId="3830"/>
    <cellStyle name="40% - Accent4 3 2 2 2 2 2 2" xfId="26605"/>
    <cellStyle name="40% - Accent4 3 2 2 2 2 3" xfId="24309"/>
    <cellStyle name="40% - Accent4 3 2 2 2 20" xfId="14982"/>
    <cellStyle name="40% - Accent4 3 2 2 2 20 2" xfId="37757"/>
    <cellStyle name="40% - Accent4 3 2 2 2 21" xfId="15638"/>
    <cellStyle name="40% - Accent4 3 2 2 2 21 2" xfId="38413"/>
    <cellStyle name="40% - Accent4 3 2 2 2 22" xfId="16294"/>
    <cellStyle name="40% - Accent4 3 2 2 2 22 2" xfId="39069"/>
    <cellStyle name="40% - Accent4 3 2 2 2 23" xfId="16950"/>
    <cellStyle name="40% - Accent4 3 2 2 2 23 2" xfId="39725"/>
    <cellStyle name="40% - Accent4 3 2 2 2 24" xfId="17606"/>
    <cellStyle name="40% - Accent4 3 2 2 2 24 2" xfId="40381"/>
    <cellStyle name="40% - Accent4 3 2 2 2 25" xfId="18262"/>
    <cellStyle name="40% - Accent4 3 2 2 2 25 2" xfId="41037"/>
    <cellStyle name="40% - Accent4 3 2 2 2 26" xfId="18918"/>
    <cellStyle name="40% - Accent4 3 2 2 2 26 2" xfId="41693"/>
    <cellStyle name="40% - Accent4 3 2 2 2 27" xfId="19574"/>
    <cellStyle name="40% - Accent4 3 2 2 2 27 2" xfId="42349"/>
    <cellStyle name="40% - Accent4 3 2 2 2 28" xfId="20230"/>
    <cellStyle name="40% - Accent4 3 2 2 2 28 2" xfId="43005"/>
    <cellStyle name="40% - Accent4 3 2 2 2 29" xfId="20886"/>
    <cellStyle name="40% - Accent4 3 2 2 2 29 2" xfId="43661"/>
    <cellStyle name="40% - Accent4 3 2 2 2 3" xfId="2190"/>
    <cellStyle name="40% - Accent4 3 2 2 2 3 2" xfId="4486"/>
    <cellStyle name="40% - Accent4 3 2 2 2 3 2 2" xfId="27261"/>
    <cellStyle name="40% - Accent4 3 2 2 2 3 3" xfId="24965"/>
    <cellStyle name="40% - Accent4 3 2 2 2 30" xfId="21542"/>
    <cellStyle name="40% - Accent4 3 2 2 2 30 2" xfId="44317"/>
    <cellStyle name="40% - Accent4 3 2 2 2 31" xfId="22198"/>
    <cellStyle name="40% - Accent4 3 2 2 2 31 2" xfId="44973"/>
    <cellStyle name="40% - Accent4 3 2 2 2 32" xfId="22854"/>
    <cellStyle name="40% - Accent4 3 2 2 2 32 2" xfId="45629"/>
    <cellStyle name="40% - Accent4 3 2 2 2 33" xfId="23653"/>
    <cellStyle name="40% - Accent4 3 2 2 2 4" xfId="5142"/>
    <cellStyle name="40% - Accent4 3 2 2 2 4 2" xfId="27917"/>
    <cellStyle name="40% - Accent4 3 2 2 2 5" xfId="5798"/>
    <cellStyle name="40% - Accent4 3 2 2 2 5 2" xfId="28573"/>
    <cellStyle name="40% - Accent4 3 2 2 2 6" xfId="6454"/>
    <cellStyle name="40% - Accent4 3 2 2 2 6 2" xfId="29229"/>
    <cellStyle name="40% - Accent4 3 2 2 2 7" xfId="3174"/>
    <cellStyle name="40% - Accent4 3 2 2 2 7 2" xfId="25949"/>
    <cellStyle name="40% - Accent4 3 2 2 2 8" xfId="7110"/>
    <cellStyle name="40% - Accent4 3 2 2 2 8 2" xfId="29885"/>
    <cellStyle name="40% - Accent4 3 2 2 2 9" xfId="7766"/>
    <cellStyle name="40% - Accent4 3 2 2 2 9 2" xfId="30541"/>
    <cellStyle name="40% - Accent4 3 2 2 20" xfId="13342"/>
    <cellStyle name="40% - Accent4 3 2 2 20 2" xfId="36117"/>
    <cellStyle name="40% - Accent4 3 2 2 21" xfId="13998"/>
    <cellStyle name="40% - Accent4 3 2 2 21 2" xfId="36773"/>
    <cellStyle name="40% - Accent4 3 2 2 22" xfId="14654"/>
    <cellStyle name="40% - Accent4 3 2 2 22 2" xfId="37429"/>
    <cellStyle name="40% - Accent4 3 2 2 23" xfId="15310"/>
    <cellStyle name="40% - Accent4 3 2 2 23 2" xfId="38085"/>
    <cellStyle name="40% - Accent4 3 2 2 24" xfId="15966"/>
    <cellStyle name="40% - Accent4 3 2 2 24 2" xfId="38741"/>
    <cellStyle name="40% - Accent4 3 2 2 25" xfId="16622"/>
    <cellStyle name="40% - Accent4 3 2 2 25 2" xfId="39397"/>
    <cellStyle name="40% - Accent4 3 2 2 26" xfId="17278"/>
    <cellStyle name="40% - Accent4 3 2 2 26 2" xfId="40053"/>
    <cellStyle name="40% - Accent4 3 2 2 27" xfId="17934"/>
    <cellStyle name="40% - Accent4 3 2 2 27 2" xfId="40709"/>
    <cellStyle name="40% - Accent4 3 2 2 28" xfId="18590"/>
    <cellStyle name="40% - Accent4 3 2 2 28 2" xfId="41365"/>
    <cellStyle name="40% - Accent4 3 2 2 29" xfId="19246"/>
    <cellStyle name="40% - Accent4 3 2 2 29 2" xfId="42021"/>
    <cellStyle name="40% - Accent4 3 2 2 3" xfId="1206"/>
    <cellStyle name="40% - Accent4 3 2 2 3 2" xfId="2846"/>
    <cellStyle name="40% - Accent4 3 2 2 3 2 2" xfId="25621"/>
    <cellStyle name="40% - Accent4 3 2 2 3 3" xfId="23981"/>
    <cellStyle name="40% - Accent4 3 2 2 30" xfId="19902"/>
    <cellStyle name="40% - Accent4 3 2 2 30 2" xfId="42677"/>
    <cellStyle name="40% - Accent4 3 2 2 31" xfId="20558"/>
    <cellStyle name="40% - Accent4 3 2 2 31 2" xfId="43333"/>
    <cellStyle name="40% - Accent4 3 2 2 32" xfId="21214"/>
    <cellStyle name="40% - Accent4 3 2 2 32 2" xfId="43989"/>
    <cellStyle name="40% - Accent4 3 2 2 33" xfId="21870"/>
    <cellStyle name="40% - Accent4 3 2 2 33 2" xfId="44645"/>
    <cellStyle name="40% - Accent4 3 2 2 34" xfId="22526"/>
    <cellStyle name="40% - Accent4 3 2 2 34 2" xfId="45301"/>
    <cellStyle name="40% - Accent4 3 2 2 35" xfId="23325"/>
    <cellStyle name="40% - Accent4 3 2 2 4" xfId="1862"/>
    <cellStyle name="40% - Accent4 3 2 2 4 2" xfId="3502"/>
    <cellStyle name="40% - Accent4 3 2 2 4 2 2" xfId="26277"/>
    <cellStyle name="40% - Accent4 3 2 2 4 3" xfId="24637"/>
    <cellStyle name="40% - Accent4 3 2 2 5" xfId="4158"/>
    <cellStyle name="40% - Accent4 3 2 2 5 2" xfId="26933"/>
    <cellStyle name="40% - Accent4 3 2 2 6" xfId="4814"/>
    <cellStyle name="40% - Accent4 3 2 2 6 2" xfId="27589"/>
    <cellStyle name="40% - Accent4 3 2 2 7" xfId="5470"/>
    <cellStyle name="40% - Accent4 3 2 2 7 2" xfId="28245"/>
    <cellStyle name="40% - Accent4 3 2 2 8" xfId="6126"/>
    <cellStyle name="40% - Accent4 3 2 2 8 2" xfId="28901"/>
    <cellStyle name="40% - Accent4 3 2 2 9" xfId="2518"/>
    <cellStyle name="40% - Accent4 3 2 2 9 2" xfId="25293"/>
    <cellStyle name="40% - Accent4 3 2 20" xfId="12501"/>
    <cellStyle name="40% - Accent4 3 2 20 2" xfId="35276"/>
    <cellStyle name="40% - Accent4 3 2 21" xfId="13157"/>
    <cellStyle name="40% - Accent4 3 2 21 2" xfId="35932"/>
    <cellStyle name="40% - Accent4 3 2 22" xfId="13813"/>
    <cellStyle name="40% - Accent4 3 2 22 2" xfId="36588"/>
    <cellStyle name="40% - Accent4 3 2 23" xfId="14469"/>
    <cellStyle name="40% - Accent4 3 2 23 2" xfId="37244"/>
    <cellStyle name="40% - Accent4 3 2 24" xfId="15125"/>
    <cellStyle name="40% - Accent4 3 2 24 2" xfId="37900"/>
    <cellStyle name="40% - Accent4 3 2 25" xfId="15781"/>
    <cellStyle name="40% - Accent4 3 2 25 2" xfId="38556"/>
    <cellStyle name="40% - Accent4 3 2 26" xfId="16437"/>
    <cellStyle name="40% - Accent4 3 2 26 2" xfId="39212"/>
    <cellStyle name="40% - Accent4 3 2 27" xfId="17093"/>
    <cellStyle name="40% - Accent4 3 2 27 2" xfId="39868"/>
    <cellStyle name="40% - Accent4 3 2 28" xfId="17749"/>
    <cellStyle name="40% - Accent4 3 2 28 2" xfId="40524"/>
    <cellStyle name="40% - Accent4 3 2 29" xfId="18405"/>
    <cellStyle name="40% - Accent4 3 2 29 2" xfId="41180"/>
    <cellStyle name="40% - Accent4 3 2 3" xfId="693"/>
    <cellStyle name="40% - Accent4 3 2 3 10" xfId="8237"/>
    <cellStyle name="40% - Accent4 3 2 3 10 2" xfId="31012"/>
    <cellStyle name="40% - Accent4 3 2 3 11" xfId="8893"/>
    <cellStyle name="40% - Accent4 3 2 3 11 2" xfId="31668"/>
    <cellStyle name="40% - Accent4 3 2 3 12" xfId="9549"/>
    <cellStyle name="40% - Accent4 3 2 3 12 2" xfId="32324"/>
    <cellStyle name="40% - Accent4 3 2 3 13" xfId="10205"/>
    <cellStyle name="40% - Accent4 3 2 3 13 2" xfId="32980"/>
    <cellStyle name="40% - Accent4 3 2 3 14" xfId="10861"/>
    <cellStyle name="40% - Accent4 3 2 3 14 2" xfId="33636"/>
    <cellStyle name="40% - Accent4 3 2 3 15" xfId="11517"/>
    <cellStyle name="40% - Accent4 3 2 3 15 2" xfId="34292"/>
    <cellStyle name="40% - Accent4 3 2 3 16" xfId="12173"/>
    <cellStyle name="40% - Accent4 3 2 3 16 2" xfId="34948"/>
    <cellStyle name="40% - Accent4 3 2 3 17" xfId="12829"/>
    <cellStyle name="40% - Accent4 3 2 3 17 2" xfId="35604"/>
    <cellStyle name="40% - Accent4 3 2 3 18" xfId="13485"/>
    <cellStyle name="40% - Accent4 3 2 3 18 2" xfId="36260"/>
    <cellStyle name="40% - Accent4 3 2 3 19" xfId="14141"/>
    <cellStyle name="40% - Accent4 3 2 3 19 2" xfId="36916"/>
    <cellStyle name="40% - Accent4 3 2 3 2" xfId="1349"/>
    <cellStyle name="40% - Accent4 3 2 3 2 2" xfId="3645"/>
    <cellStyle name="40% - Accent4 3 2 3 2 2 2" xfId="26420"/>
    <cellStyle name="40% - Accent4 3 2 3 2 3" xfId="24124"/>
    <cellStyle name="40% - Accent4 3 2 3 20" xfId="14797"/>
    <cellStyle name="40% - Accent4 3 2 3 20 2" xfId="37572"/>
    <cellStyle name="40% - Accent4 3 2 3 21" xfId="15453"/>
    <cellStyle name="40% - Accent4 3 2 3 21 2" xfId="38228"/>
    <cellStyle name="40% - Accent4 3 2 3 22" xfId="16109"/>
    <cellStyle name="40% - Accent4 3 2 3 22 2" xfId="38884"/>
    <cellStyle name="40% - Accent4 3 2 3 23" xfId="16765"/>
    <cellStyle name="40% - Accent4 3 2 3 23 2" xfId="39540"/>
    <cellStyle name="40% - Accent4 3 2 3 24" xfId="17421"/>
    <cellStyle name="40% - Accent4 3 2 3 24 2" xfId="40196"/>
    <cellStyle name="40% - Accent4 3 2 3 25" xfId="18077"/>
    <cellStyle name="40% - Accent4 3 2 3 25 2" xfId="40852"/>
    <cellStyle name="40% - Accent4 3 2 3 26" xfId="18733"/>
    <cellStyle name="40% - Accent4 3 2 3 26 2" xfId="41508"/>
    <cellStyle name="40% - Accent4 3 2 3 27" xfId="19389"/>
    <cellStyle name="40% - Accent4 3 2 3 27 2" xfId="42164"/>
    <cellStyle name="40% - Accent4 3 2 3 28" xfId="20045"/>
    <cellStyle name="40% - Accent4 3 2 3 28 2" xfId="42820"/>
    <cellStyle name="40% - Accent4 3 2 3 29" xfId="20701"/>
    <cellStyle name="40% - Accent4 3 2 3 29 2" xfId="43476"/>
    <cellStyle name="40% - Accent4 3 2 3 3" xfId="2005"/>
    <cellStyle name="40% - Accent4 3 2 3 3 2" xfId="4301"/>
    <cellStyle name="40% - Accent4 3 2 3 3 2 2" xfId="27076"/>
    <cellStyle name="40% - Accent4 3 2 3 3 3" xfId="24780"/>
    <cellStyle name="40% - Accent4 3 2 3 30" xfId="21357"/>
    <cellStyle name="40% - Accent4 3 2 3 30 2" xfId="44132"/>
    <cellStyle name="40% - Accent4 3 2 3 31" xfId="22013"/>
    <cellStyle name="40% - Accent4 3 2 3 31 2" xfId="44788"/>
    <cellStyle name="40% - Accent4 3 2 3 32" xfId="22669"/>
    <cellStyle name="40% - Accent4 3 2 3 32 2" xfId="45444"/>
    <cellStyle name="40% - Accent4 3 2 3 33" xfId="23468"/>
    <cellStyle name="40% - Accent4 3 2 3 4" xfId="4957"/>
    <cellStyle name="40% - Accent4 3 2 3 4 2" xfId="27732"/>
    <cellStyle name="40% - Accent4 3 2 3 5" xfId="5613"/>
    <cellStyle name="40% - Accent4 3 2 3 5 2" xfId="28388"/>
    <cellStyle name="40% - Accent4 3 2 3 6" xfId="6269"/>
    <cellStyle name="40% - Accent4 3 2 3 6 2" xfId="29044"/>
    <cellStyle name="40% - Accent4 3 2 3 7" xfId="2989"/>
    <cellStyle name="40% - Accent4 3 2 3 7 2" xfId="25764"/>
    <cellStyle name="40% - Accent4 3 2 3 8" xfId="6925"/>
    <cellStyle name="40% - Accent4 3 2 3 8 2" xfId="29700"/>
    <cellStyle name="40% - Accent4 3 2 3 9" xfId="7581"/>
    <cellStyle name="40% - Accent4 3 2 3 9 2" xfId="30356"/>
    <cellStyle name="40% - Accent4 3 2 30" xfId="19061"/>
    <cellStyle name="40% - Accent4 3 2 30 2" xfId="41836"/>
    <cellStyle name="40% - Accent4 3 2 31" xfId="19717"/>
    <cellStyle name="40% - Accent4 3 2 31 2" xfId="42492"/>
    <cellStyle name="40% - Accent4 3 2 32" xfId="20373"/>
    <cellStyle name="40% - Accent4 3 2 32 2" xfId="43148"/>
    <cellStyle name="40% - Accent4 3 2 33" xfId="21029"/>
    <cellStyle name="40% - Accent4 3 2 33 2" xfId="43804"/>
    <cellStyle name="40% - Accent4 3 2 34" xfId="21685"/>
    <cellStyle name="40% - Accent4 3 2 34 2" xfId="44460"/>
    <cellStyle name="40% - Accent4 3 2 35" xfId="22341"/>
    <cellStyle name="40% - Accent4 3 2 35 2" xfId="45116"/>
    <cellStyle name="40% - Accent4 3 2 36" xfId="22997"/>
    <cellStyle name="40% - Accent4 3 2 4" xfId="366"/>
    <cellStyle name="40% - Accent4 3 2 4 2" xfId="2661"/>
    <cellStyle name="40% - Accent4 3 2 4 2 2" xfId="25436"/>
    <cellStyle name="40% - Accent4 3 2 4 3" xfId="23140"/>
    <cellStyle name="40% - Accent4 3 2 5" xfId="1021"/>
    <cellStyle name="40% - Accent4 3 2 5 2" xfId="3317"/>
    <cellStyle name="40% - Accent4 3 2 5 2 2" xfId="26092"/>
    <cellStyle name="40% - Accent4 3 2 5 3" xfId="23796"/>
    <cellStyle name="40% - Accent4 3 2 6" xfId="1677"/>
    <cellStyle name="40% - Accent4 3 2 6 2" xfId="3973"/>
    <cellStyle name="40% - Accent4 3 2 6 2 2" xfId="26748"/>
    <cellStyle name="40% - Accent4 3 2 6 3" xfId="24452"/>
    <cellStyle name="40% - Accent4 3 2 7" xfId="4629"/>
    <cellStyle name="40% - Accent4 3 2 7 2" xfId="27404"/>
    <cellStyle name="40% - Accent4 3 2 8" xfId="5285"/>
    <cellStyle name="40% - Accent4 3 2 8 2" xfId="28060"/>
    <cellStyle name="40% - Accent4 3 2 9" xfId="5941"/>
    <cellStyle name="40% - Accent4 3 2 9 2" xfId="28716"/>
    <cellStyle name="40% - Accent4 3 20" xfId="11790"/>
    <cellStyle name="40% - Accent4 3 20 2" xfId="34565"/>
    <cellStyle name="40% - Accent4 3 21" xfId="12446"/>
    <cellStyle name="40% - Accent4 3 21 2" xfId="35221"/>
    <cellStyle name="40% - Accent4 3 22" xfId="13102"/>
    <cellStyle name="40% - Accent4 3 22 2" xfId="35877"/>
    <cellStyle name="40% - Accent4 3 23" xfId="13758"/>
    <cellStyle name="40% - Accent4 3 23 2" xfId="36533"/>
    <cellStyle name="40% - Accent4 3 24" xfId="14414"/>
    <cellStyle name="40% - Accent4 3 24 2" xfId="37189"/>
    <cellStyle name="40% - Accent4 3 25" xfId="15070"/>
    <cellStyle name="40% - Accent4 3 25 2" xfId="37845"/>
    <cellStyle name="40% - Accent4 3 26" xfId="15726"/>
    <cellStyle name="40% - Accent4 3 26 2" xfId="38501"/>
    <cellStyle name="40% - Accent4 3 27" xfId="16382"/>
    <cellStyle name="40% - Accent4 3 27 2" xfId="39157"/>
    <cellStyle name="40% - Accent4 3 28" xfId="17038"/>
    <cellStyle name="40% - Accent4 3 28 2" xfId="39813"/>
    <cellStyle name="40% - Accent4 3 29" xfId="17694"/>
    <cellStyle name="40% - Accent4 3 29 2" xfId="40469"/>
    <cellStyle name="40% - Accent4 3 3" xfId="495"/>
    <cellStyle name="40% - Accent4 3 3 10" xfId="6727"/>
    <cellStyle name="40% - Accent4 3 3 10 2" xfId="29502"/>
    <cellStyle name="40% - Accent4 3 3 11" xfId="7383"/>
    <cellStyle name="40% - Accent4 3 3 11 2" xfId="30158"/>
    <cellStyle name="40% - Accent4 3 3 12" xfId="8039"/>
    <cellStyle name="40% - Accent4 3 3 12 2" xfId="30814"/>
    <cellStyle name="40% - Accent4 3 3 13" xfId="8695"/>
    <cellStyle name="40% - Accent4 3 3 13 2" xfId="31470"/>
    <cellStyle name="40% - Accent4 3 3 14" xfId="9351"/>
    <cellStyle name="40% - Accent4 3 3 14 2" xfId="32126"/>
    <cellStyle name="40% - Accent4 3 3 15" xfId="10007"/>
    <cellStyle name="40% - Accent4 3 3 15 2" xfId="32782"/>
    <cellStyle name="40% - Accent4 3 3 16" xfId="10663"/>
    <cellStyle name="40% - Accent4 3 3 16 2" xfId="33438"/>
    <cellStyle name="40% - Accent4 3 3 17" xfId="11319"/>
    <cellStyle name="40% - Accent4 3 3 17 2" xfId="34094"/>
    <cellStyle name="40% - Accent4 3 3 18" xfId="11975"/>
    <cellStyle name="40% - Accent4 3 3 18 2" xfId="34750"/>
    <cellStyle name="40% - Accent4 3 3 19" xfId="12631"/>
    <cellStyle name="40% - Accent4 3 3 19 2" xfId="35406"/>
    <cellStyle name="40% - Accent4 3 3 2" xfId="823"/>
    <cellStyle name="40% - Accent4 3 3 2 10" xfId="8367"/>
    <cellStyle name="40% - Accent4 3 3 2 10 2" xfId="31142"/>
    <cellStyle name="40% - Accent4 3 3 2 11" xfId="9023"/>
    <cellStyle name="40% - Accent4 3 3 2 11 2" xfId="31798"/>
    <cellStyle name="40% - Accent4 3 3 2 12" xfId="9679"/>
    <cellStyle name="40% - Accent4 3 3 2 12 2" xfId="32454"/>
    <cellStyle name="40% - Accent4 3 3 2 13" xfId="10335"/>
    <cellStyle name="40% - Accent4 3 3 2 13 2" xfId="33110"/>
    <cellStyle name="40% - Accent4 3 3 2 14" xfId="10991"/>
    <cellStyle name="40% - Accent4 3 3 2 14 2" xfId="33766"/>
    <cellStyle name="40% - Accent4 3 3 2 15" xfId="11647"/>
    <cellStyle name="40% - Accent4 3 3 2 15 2" xfId="34422"/>
    <cellStyle name="40% - Accent4 3 3 2 16" xfId="12303"/>
    <cellStyle name="40% - Accent4 3 3 2 16 2" xfId="35078"/>
    <cellStyle name="40% - Accent4 3 3 2 17" xfId="12959"/>
    <cellStyle name="40% - Accent4 3 3 2 17 2" xfId="35734"/>
    <cellStyle name="40% - Accent4 3 3 2 18" xfId="13615"/>
    <cellStyle name="40% - Accent4 3 3 2 18 2" xfId="36390"/>
    <cellStyle name="40% - Accent4 3 3 2 19" xfId="14271"/>
    <cellStyle name="40% - Accent4 3 3 2 19 2" xfId="37046"/>
    <cellStyle name="40% - Accent4 3 3 2 2" xfId="1479"/>
    <cellStyle name="40% - Accent4 3 3 2 2 2" xfId="3775"/>
    <cellStyle name="40% - Accent4 3 3 2 2 2 2" xfId="26550"/>
    <cellStyle name="40% - Accent4 3 3 2 2 3" xfId="24254"/>
    <cellStyle name="40% - Accent4 3 3 2 20" xfId="14927"/>
    <cellStyle name="40% - Accent4 3 3 2 20 2" xfId="37702"/>
    <cellStyle name="40% - Accent4 3 3 2 21" xfId="15583"/>
    <cellStyle name="40% - Accent4 3 3 2 21 2" xfId="38358"/>
    <cellStyle name="40% - Accent4 3 3 2 22" xfId="16239"/>
    <cellStyle name="40% - Accent4 3 3 2 22 2" xfId="39014"/>
    <cellStyle name="40% - Accent4 3 3 2 23" xfId="16895"/>
    <cellStyle name="40% - Accent4 3 3 2 23 2" xfId="39670"/>
    <cellStyle name="40% - Accent4 3 3 2 24" xfId="17551"/>
    <cellStyle name="40% - Accent4 3 3 2 24 2" xfId="40326"/>
    <cellStyle name="40% - Accent4 3 3 2 25" xfId="18207"/>
    <cellStyle name="40% - Accent4 3 3 2 25 2" xfId="40982"/>
    <cellStyle name="40% - Accent4 3 3 2 26" xfId="18863"/>
    <cellStyle name="40% - Accent4 3 3 2 26 2" xfId="41638"/>
    <cellStyle name="40% - Accent4 3 3 2 27" xfId="19519"/>
    <cellStyle name="40% - Accent4 3 3 2 27 2" xfId="42294"/>
    <cellStyle name="40% - Accent4 3 3 2 28" xfId="20175"/>
    <cellStyle name="40% - Accent4 3 3 2 28 2" xfId="42950"/>
    <cellStyle name="40% - Accent4 3 3 2 29" xfId="20831"/>
    <cellStyle name="40% - Accent4 3 3 2 29 2" xfId="43606"/>
    <cellStyle name="40% - Accent4 3 3 2 3" xfId="2135"/>
    <cellStyle name="40% - Accent4 3 3 2 3 2" xfId="4431"/>
    <cellStyle name="40% - Accent4 3 3 2 3 2 2" xfId="27206"/>
    <cellStyle name="40% - Accent4 3 3 2 3 3" xfId="24910"/>
    <cellStyle name="40% - Accent4 3 3 2 30" xfId="21487"/>
    <cellStyle name="40% - Accent4 3 3 2 30 2" xfId="44262"/>
    <cellStyle name="40% - Accent4 3 3 2 31" xfId="22143"/>
    <cellStyle name="40% - Accent4 3 3 2 31 2" xfId="44918"/>
    <cellStyle name="40% - Accent4 3 3 2 32" xfId="22799"/>
    <cellStyle name="40% - Accent4 3 3 2 32 2" xfId="45574"/>
    <cellStyle name="40% - Accent4 3 3 2 33" xfId="23598"/>
    <cellStyle name="40% - Accent4 3 3 2 4" xfId="5087"/>
    <cellStyle name="40% - Accent4 3 3 2 4 2" xfId="27862"/>
    <cellStyle name="40% - Accent4 3 3 2 5" xfId="5743"/>
    <cellStyle name="40% - Accent4 3 3 2 5 2" xfId="28518"/>
    <cellStyle name="40% - Accent4 3 3 2 6" xfId="6399"/>
    <cellStyle name="40% - Accent4 3 3 2 6 2" xfId="29174"/>
    <cellStyle name="40% - Accent4 3 3 2 7" xfId="3119"/>
    <cellStyle name="40% - Accent4 3 3 2 7 2" xfId="25894"/>
    <cellStyle name="40% - Accent4 3 3 2 8" xfId="7055"/>
    <cellStyle name="40% - Accent4 3 3 2 8 2" xfId="29830"/>
    <cellStyle name="40% - Accent4 3 3 2 9" xfId="7711"/>
    <cellStyle name="40% - Accent4 3 3 2 9 2" xfId="30486"/>
    <cellStyle name="40% - Accent4 3 3 20" xfId="13287"/>
    <cellStyle name="40% - Accent4 3 3 20 2" xfId="36062"/>
    <cellStyle name="40% - Accent4 3 3 21" xfId="13943"/>
    <cellStyle name="40% - Accent4 3 3 21 2" xfId="36718"/>
    <cellStyle name="40% - Accent4 3 3 22" xfId="14599"/>
    <cellStyle name="40% - Accent4 3 3 22 2" xfId="37374"/>
    <cellStyle name="40% - Accent4 3 3 23" xfId="15255"/>
    <cellStyle name="40% - Accent4 3 3 23 2" xfId="38030"/>
    <cellStyle name="40% - Accent4 3 3 24" xfId="15911"/>
    <cellStyle name="40% - Accent4 3 3 24 2" xfId="38686"/>
    <cellStyle name="40% - Accent4 3 3 25" xfId="16567"/>
    <cellStyle name="40% - Accent4 3 3 25 2" xfId="39342"/>
    <cellStyle name="40% - Accent4 3 3 26" xfId="17223"/>
    <cellStyle name="40% - Accent4 3 3 26 2" xfId="39998"/>
    <cellStyle name="40% - Accent4 3 3 27" xfId="17879"/>
    <cellStyle name="40% - Accent4 3 3 27 2" xfId="40654"/>
    <cellStyle name="40% - Accent4 3 3 28" xfId="18535"/>
    <cellStyle name="40% - Accent4 3 3 28 2" xfId="41310"/>
    <cellStyle name="40% - Accent4 3 3 29" xfId="19191"/>
    <cellStyle name="40% - Accent4 3 3 29 2" xfId="41966"/>
    <cellStyle name="40% - Accent4 3 3 3" xfId="1151"/>
    <cellStyle name="40% - Accent4 3 3 3 2" xfId="2791"/>
    <cellStyle name="40% - Accent4 3 3 3 2 2" xfId="25566"/>
    <cellStyle name="40% - Accent4 3 3 3 3" xfId="23926"/>
    <cellStyle name="40% - Accent4 3 3 30" xfId="19847"/>
    <cellStyle name="40% - Accent4 3 3 30 2" xfId="42622"/>
    <cellStyle name="40% - Accent4 3 3 31" xfId="20503"/>
    <cellStyle name="40% - Accent4 3 3 31 2" xfId="43278"/>
    <cellStyle name="40% - Accent4 3 3 32" xfId="21159"/>
    <cellStyle name="40% - Accent4 3 3 32 2" xfId="43934"/>
    <cellStyle name="40% - Accent4 3 3 33" xfId="21815"/>
    <cellStyle name="40% - Accent4 3 3 33 2" xfId="44590"/>
    <cellStyle name="40% - Accent4 3 3 34" xfId="22471"/>
    <cellStyle name="40% - Accent4 3 3 34 2" xfId="45246"/>
    <cellStyle name="40% - Accent4 3 3 35" xfId="23270"/>
    <cellStyle name="40% - Accent4 3 3 4" xfId="1807"/>
    <cellStyle name="40% - Accent4 3 3 4 2" xfId="3447"/>
    <cellStyle name="40% - Accent4 3 3 4 2 2" xfId="26222"/>
    <cellStyle name="40% - Accent4 3 3 4 3" xfId="24582"/>
    <cellStyle name="40% - Accent4 3 3 5" xfId="4103"/>
    <cellStyle name="40% - Accent4 3 3 5 2" xfId="26878"/>
    <cellStyle name="40% - Accent4 3 3 6" xfId="4759"/>
    <cellStyle name="40% - Accent4 3 3 6 2" xfId="27534"/>
    <cellStyle name="40% - Accent4 3 3 7" xfId="5415"/>
    <cellStyle name="40% - Accent4 3 3 7 2" xfId="28190"/>
    <cellStyle name="40% - Accent4 3 3 8" xfId="6071"/>
    <cellStyle name="40% - Accent4 3 3 8 2" xfId="28846"/>
    <cellStyle name="40% - Accent4 3 3 9" xfId="2463"/>
    <cellStyle name="40% - Accent4 3 3 9 2" xfId="25238"/>
    <cellStyle name="40% - Accent4 3 30" xfId="18350"/>
    <cellStyle name="40% - Accent4 3 30 2" xfId="41125"/>
    <cellStyle name="40% - Accent4 3 31" xfId="19006"/>
    <cellStyle name="40% - Accent4 3 31 2" xfId="41781"/>
    <cellStyle name="40% - Accent4 3 32" xfId="19662"/>
    <cellStyle name="40% - Accent4 3 32 2" xfId="42437"/>
    <cellStyle name="40% - Accent4 3 33" xfId="20318"/>
    <cellStyle name="40% - Accent4 3 33 2" xfId="43093"/>
    <cellStyle name="40% - Accent4 3 34" xfId="20974"/>
    <cellStyle name="40% - Accent4 3 34 2" xfId="43749"/>
    <cellStyle name="40% - Accent4 3 35" xfId="21630"/>
    <cellStyle name="40% - Accent4 3 35 2" xfId="44405"/>
    <cellStyle name="40% - Accent4 3 36" xfId="22286"/>
    <cellStyle name="40% - Accent4 3 36 2" xfId="45061"/>
    <cellStyle name="40% - Accent4 3 37" xfId="225"/>
    <cellStyle name="40% - Accent4 3 38" xfId="22942"/>
    <cellStyle name="40% - Accent4 3 4" xfId="638"/>
    <cellStyle name="40% - Accent4 3 4 10" xfId="8182"/>
    <cellStyle name="40% - Accent4 3 4 10 2" xfId="30957"/>
    <cellStyle name="40% - Accent4 3 4 11" xfId="8838"/>
    <cellStyle name="40% - Accent4 3 4 11 2" xfId="31613"/>
    <cellStyle name="40% - Accent4 3 4 12" xfId="9494"/>
    <cellStyle name="40% - Accent4 3 4 12 2" xfId="32269"/>
    <cellStyle name="40% - Accent4 3 4 13" xfId="10150"/>
    <cellStyle name="40% - Accent4 3 4 13 2" xfId="32925"/>
    <cellStyle name="40% - Accent4 3 4 14" xfId="10806"/>
    <cellStyle name="40% - Accent4 3 4 14 2" xfId="33581"/>
    <cellStyle name="40% - Accent4 3 4 15" xfId="11462"/>
    <cellStyle name="40% - Accent4 3 4 15 2" xfId="34237"/>
    <cellStyle name="40% - Accent4 3 4 16" xfId="12118"/>
    <cellStyle name="40% - Accent4 3 4 16 2" xfId="34893"/>
    <cellStyle name="40% - Accent4 3 4 17" xfId="12774"/>
    <cellStyle name="40% - Accent4 3 4 17 2" xfId="35549"/>
    <cellStyle name="40% - Accent4 3 4 18" xfId="13430"/>
    <cellStyle name="40% - Accent4 3 4 18 2" xfId="36205"/>
    <cellStyle name="40% - Accent4 3 4 19" xfId="14086"/>
    <cellStyle name="40% - Accent4 3 4 19 2" xfId="36861"/>
    <cellStyle name="40% - Accent4 3 4 2" xfId="1294"/>
    <cellStyle name="40% - Accent4 3 4 2 2" xfId="3590"/>
    <cellStyle name="40% - Accent4 3 4 2 2 2" xfId="26365"/>
    <cellStyle name="40% - Accent4 3 4 2 3" xfId="24069"/>
    <cellStyle name="40% - Accent4 3 4 20" xfId="14742"/>
    <cellStyle name="40% - Accent4 3 4 20 2" xfId="37517"/>
    <cellStyle name="40% - Accent4 3 4 21" xfId="15398"/>
    <cellStyle name="40% - Accent4 3 4 21 2" xfId="38173"/>
    <cellStyle name="40% - Accent4 3 4 22" xfId="16054"/>
    <cellStyle name="40% - Accent4 3 4 22 2" xfId="38829"/>
    <cellStyle name="40% - Accent4 3 4 23" xfId="16710"/>
    <cellStyle name="40% - Accent4 3 4 23 2" xfId="39485"/>
    <cellStyle name="40% - Accent4 3 4 24" xfId="17366"/>
    <cellStyle name="40% - Accent4 3 4 24 2" xfId="40141"/>
    <cellStyle name="40% - Accent4 3 4 25" xfId="18022"/>
    <cellStyle name="40% - Accent4 3 4 25 2" xfId="40797"/>
    <cellStyle name="40% - Accent4 3 4 26" xfId="18678"/>
    <cellStyle name="40% - Accent4 3 4 26 2" xfId="41453"/>
    <cellStyle name="40% - Accent4 3 4 27" xfId="19334"/>
    <cellStyle name="40% - Accent4 3 4 27 2" xfId="42109"/>
    <cellStyle name="40% - Accent4 3 4 28" xfId="19990"/>
    <cellStyle name="40% - Accent4 3 4 28 2" xfId="42765"/>
    <cellStyle name="40% - Accent4 3 4 29" xfId="20646"/>
    <cellStyle name="40% - Accent4 3 4 29 2" xfId="43421"/>
    <cellStyle name="40% - Accent4 3 4 3" xfId="1950"/>
    <cellStyle name="40% - Accent4 3 4 3 2" xfId="4246"/>
    <cellStyle name="40% - Accent4 3 4 3 2 2" xfId="27021"/>
    <cellStyle name="40% - Accent4 3 4 3 3" xfId="24725"/>
    <cellStyle name="40% - Accent4 3 4 30" xfId="21302"/>
    <cellStyle name="40% - Accent4 3 4 30 2" xfId="44077"/>
    <cellStyle name="40% - Accent4 3 4 31" xfId="21958"/>
    <cellStyle name="40% - Accent4 3 4 31 2" xfId="44733"/>
    <cellStyle name="40% - Accent4 3 4 32" xfId="22614"/>
    <cellStyle name="40% - Accent4 3 4 32 2" xfId="45389"/>
    <cellStyle name="40% - Accent4 3 4 33" xfId="23413"/>
    <cellStyle name="40% - Accent4 3 4 4" xfId="4902"/>
    <cellStyle name="40% - Accent4 3 4 4 2" xfId="27677"/>
    <cellStyle name="40% - Accent4 3 4 5" xfId="5558"/>
    <cellStyle name="40% - Accent4 3 4 5 2" xfId="28333"/>
    <cellStyle name="40% - Accent4 3 4 6" xfId="6214"/>
    <cellStyle name="40% - Accent4 3 4 6 2" xfId="28989"/>
    <cellStyle name="40% - Accent4 3 4 7" xfId="2934"/>
    <cellStyle name="40% - Accent4 3 4 7 2" xfId="25709"/>
    <cellStyle name="40% - Accent4 3 4 8" xfId="6870"/>
    <cellStyle name="40% - Accent4 3 4 8 2" xfId="29645"/>
    <cellStyle name="40% - Accent4 3 4 9" xfId="7526"/>
    <cellStyle name="40% - Accent4 3 4 9 2" xfId="30301"/>
    <cellStyle name="40% - Accent4 3 5" xfId="311"/>
    <cellStyle name="40% - Accent4 3 5 2" xfId="2606"/>
    <cellStyle name="40% - Accent4 3 5 2 2" xfId="25381"/>
    <cellStyle name="40% - Accent4 3 5 3" xfId="23085"/>
    <cellStyle name="40% - Accent4 3 6" xfId="966"/>
    <cellStyle name="40% - Accent4 3 6 2" xfId="3262"/>
    <cellStyle name="40% - Accent4 3 6 2 2" xfId="26037"/>
    <cellStyle name="40% - Accent4 3 6 3" xfId="23741"/>
    <cellStyle name="40% - Accent4 3 7" xfId="1622"/>
    <cellStyle name="40% - Accent4 3 7 2" xfId="3918"/>
    <cellStyle name="40% - Accent4 3 7 2 2" xfId="26693"/>
    <cellStyle name="40% - Accent4 3 7 3" xfId="24397"/>
    <cellStyle name="40% - Accent4 3 8" xfId="4574"/>
    <cellStyle name="40% - Accent4 3 8 2" xfId="27349"/>
    <cellStyle name="40% - Accent4 3 9" xfId="5230"/>
    <cellStyle name="40% - Accent4 3 9 2" xfId="28005"/>
    <cellStyle name="40% - Accent4 30" xfId="13727"/>
    <cellStyle name="40% - Accent4 30 2" xfId="36502"/>
    <cellStyle name="40% - Accent4 31" xfId="14383"/>
    <cellStyle name="40% - Accent4 31 2" xfId="37158"/>
    <cellStyle name="40% - Accent4 32" xfId="15039"/>
    <cellStyle name="40% - Accent4 32 2" xfId="37814"/>
    <cellStyle name="40% - Accent4 33" xfId="15695"/>
    <cellStyle name="40% - Accent4 33 2" xfId="38470"/>
    <cellStyle name="40% - Accent4 34" xfId="16351"/>
    <cellStyle name="40% - Accent4 34 2" xfId="39126"/>
    <cellStyle name="40% - Accent4 35" xfId="17007"/>
    <cellStyle name="40% - Accent4 35 2" xfId="39782"/>
    <cellStyle name="40% - Accent4 36" xfId="17663"/>
    <cellStyle name="40% - Accent4 36 2" xfId="40438"/>
    <cellStyle name="40% - Accent4 37" xfId="18319"/>
    <cellStyle name="40% - Accent4 37 2" xfId="41094"/>
    <cellStyle name="40% - Accent4 38" xfId="18975"/>
    <cellStyle name="40% - Accent4 38 2" xfId="41750"/>
    <cellStyle name="40% - Accent4 39" xfId="19631"/>
    <cellStyle name="40% - Accent4 39 2" xfId="42406"/>
    <cellStyle name="40% - Accent4 4" xfId="94"/>
    <cellStyle name="40% - Accent4 4 10" xfId="5900"/>
    <cellStyle name="40% - Accent4 4 10 2" xfId="28675"/>
    <cellStyle name="40% - Accent4 4 11" xfId="2292"/>
    <cellStyle name="40% - Accent4 4 11 2" xfId="25067"/>
    <cellStyle name="40% - Accent4 4 12" xfId="6556"/>
    <cellStyle name="40% - Accent4 4 12 2" xfId="29331"/>
    <cellStyle name="40% - Accent4 4 13" xfId="7212"/>
    <cellStyle name="40% - Accent4 4 13 2" xfId="29987"/>
    <cellStyle name="40% - Accent4 4 14" xfId="7868"/>
    <cellStyle name="40% - Accent4 4 14 2" xfId="30643"/>
    <cellStyle name="40% - Accent4 4 15" xfId="8524"/>
    <cellStyle name="40% - Accent4 4 15 2" xfId="31299"/>
    <cellStyle name="40% - Accent4 4 16" xfId="9180"/>
    <cellStyle name="40% - Accent4 4 16 2" xfId="31955"/>
    <cellStyle name="40% - Accent4 4 17" xfId="9836"/>
    <cellStyle name="40% - Accent4 4 17 2" xfId="32611"/>
    <cellStyle name="40% - Accent4 4 18" xfId="10492"/>
    <cellStyle name="40% - Accent4 4 18 2" xfId="33267"/>
    <cellStyle name="40% - Accent4 4 19" xfId="11148"/>
    <cellStyle name="40% - Accent4 4 19 2" xfId="33923"/>
    <cellStyle name="40% - Accent4 4 2" xfId="165"/>
    <cellStyle name="40% - Accent4 4 2 10" xfId="2363"/>
    <cellStyle name="40% - Accent4 4 2 10 2" xfId="25138"/>
    <cellStyle name="40% - Accent4 4 2 11" xfId="6627"/>
    <cellStyle name="40% - Accent4 4 2 11 2" xfId="29402"/>
    <cellStyle name="40% - Accent4 4 2 12" xfId="7283"/>
    <cellStyle name="40% - Accent4 4 2 12 2" xfId="30058"/>
    <cellStyle name="40% - Accent4 4 2 13" xfId="7939"/>
    <cellStyle name="40% - Accent4 4 2 13 2" xfId="30714"/>
    <cellStyle name="40% - Accent4 4 2 14" xfId="8595"/>
    <cellStyle name="40% - Accent4 4 2 14 2" xfId="31370"/>
    <cellStyle name="40% - Accent4 4 2 15" xfId="9251"/>
    <cellStyle name="40% - Accent4 4 2 15 2" xfId="32026"/>
    <cellStyle name="40% - Accent4 4 2 16" xfId="9907"/>
    <cellStyle name="40% - Accent4 4 2 16 2" xfId="32682"/>
    <cellStyle name="40% - Accent4 4 2 17" xfId="10563"/>
    <cellStyle name="40% - Accent4 4 2 17 2" xfId="33338"/>
    <cellStyle name="40% - Accent4 4 2 18" xfId="11219"/>
    <cellStyle name="40% - Accent4 4 2 18 2" xfId="33994"/>
    <cellStyle name="40% - Accent4 4 2 19" xfId="11875"/>
    <cellStyle name="40% - Accent4 4 2 19 2" xfId="34650"/>
    <cellStyle name="40% - Accent4 4 2 2" xfId="579"/>
    <cellStyle name="40% - Accent4 4 2 2 10" xfId="6812"/>
    <cellStyle name="40% - Accent4 4 2 2 10 2" xfId="29587"/>
    <cellStyle name="40% - Accent4 4 2 2 11" xfId="7468"/>
    <cellStyle name="40% - Accent4 4 2 2 11 2" xfId="30243"/>
    <cellStyle name="40% - Accent4 4 2 2 12" xfId="8124"/>
    <cellStyle name="40% - Accent4 4 2 2 12 2" xfId="30899"/>
    <cellStyle name="40% - Accent4 4 2 2 13" xfId="8780"/>
    <cellStyle name="40% - Accent4 4 2 2 13 2" xfId="31555"/>
    <cellStyle name="40% - Accent4 4 2 2 14" xfId="9436"/>
    <cellStyle name="40% - Accent4 4 2 2 14 2" xfId="32211"/>
    <cellStyle name="40% - Accent4 4 2 2 15" xfId="10092"/>
    <cellStyle name="40% - Accent4 4 2 2 15 2" xfId="32867"/>
    <cellStyle name="40% - Accent4 4 2 2 16" xfId="10748"/>
    <cellStyle name="40% - Accent4 4 2 2 16 2" xfId="33523"/>
    <cellStyle name="40% - Accent4 4 2 2 17" xfId="11404"/>
    <cellStyle name="40% - Accent4 4 2 2 17 2" xfId="34179"/>
    <cellStyle name="40% - Accent4 4 2 2 18" xfId="12060"/>
    <cellStyle name="40% - Accent4 4 2 2 18 2" xfId="34835"/>
    <cellStyle name="40% - Accent4 4 2 2 19" xfId="12716"/>
    <cellStyle name="40% - Accent4 4 2 2 19 2" xfId="35491"/>
    <cellStyle name="40% - Accent4 4 2 2 2" xfId="908"/>
    <cellStyle name="40% - Accent4 4 2 2 2 10" xfId="8452"/>
    <cellStyle name="40% - Accent4 4 2 2 2 10 2" xfId="31227"/>
    <cellStyle name="40% - Accent4 4 2 2 2 11" xfId="9108"/>
    <cellStyle name="40% - Accent4 4 2 2 2 11 2" xfId="31883"/>
    <cellStyle name="40% - Accent4 4 2 2 2 12" xfId="9764"/>
    <cellStyle name="40% - Accent4 4 2 2 2 12 2" xfId="32539"/>
    <cellStyle name="40% - Accent4 4 2 2 2 13" xfId="10420"/>
    <cellStyle name="40% - Accent4 4 2 2 2 13 2" xfId="33195"/>
    <cellStyle name="40% - Accent4 4 2 2 2 14" xfId="11076"/>
    <cellStyle name="40% - Accent4 4 2 2 2 14 2" xfId="33851"/>
    <cellStyle name="40% - Accent4 4 2 2 2 15" xfId="11732"/>
    <cellStyle name="40% - Accent4 4 2 2 2 15 2" xfId="34507"/>
    <cellStyle name="40% - Accent4 4 2 2 2 16" xfId="12388"/>
    <cellStyle name="40% - Accent4 4 2 2 2 16 2" xfId="35163"/>
    <cellStyle name="40% - Accent4 4 2 2 2 17" xfId="13044"/>
    <cellStyle name="40% - Accent4 4 2 2 2 17 2" xfId="35819"/>
    <cellStyle name="40% - Accent4 4 2 2 2 18" xfId="13700"/>
    <cellStyle name="40% - Accent4 4 2 2 2 18 2" xfId="36475"/>
    <cellStyle name="40% - Accent4 4 2 2 2 19" xfId="14356"/>
    <cellStyle name="40% - Accent4 4 2 2 2 19 2" xfId="37131"/>
    <cellStyle name="40% - Accent4 4 2 2 2 2" xfId="1564"/>
    <cellStyle name="40% - Accent4 4 2 2 2 2 2" xfId="3860"/>
    <cellStyle name="40% - Accent4 4 2 2 2 2 2 2" xfId="26635"/>
    <cellStyle name="40% - Accent4 4 2 2 2 2 3" xfId="24339"/>
    <cellStyle name="40% - Accent4 4 2 2 2 20" xfId="15012"/>
    <cellStyle name="40% - Accent4 4 2 2 2 20 2" xfId="37787"/>
    <cellStyle name="40% - Accent4 4 2 2 2 21" xfId="15668"/>
    <cellStyle name="40% - Accent4 4 2 2 2 21 2" xfId="38443"/>
    <cellStyle name="40% - Accent4 4 2 2 2 22" xfId="16324"/>
    <cellStyle name="40% - Accent4 4 2 2 2 22 2" xfId="39099"/>
    <cellStyle name="40% - Accent4 4 2 2 2 23" xfId="16980"/>
    <cellStyle name="40% - Accent4 4 2 2 2 23 2" xfId="39755"/>
    <cellStyle name="40% - Accent4 4 2 2 2 24" xfId="17636"/>
    <cellStyle name="40% - Accent4 4 2 2 2 24 2" xfId="40411"/>
    <cellStyle name="40% - Accent4 4 2 2 2 25" xfId="18292"/>
    <cellStyle name="40% - Accent4 4 2 2 2 25 2" xfId="41067"/>
    <cellStyle name="40% - Accent4 4 2 2 2 26" xfId="18948"/>
    <cellStyle name="40% - Accent4 4 2 2 2 26 2" xfId="41723"/>
    <cellStyle name="40% - Accent4 4 2 2 2 27" xfId="19604"/>
    <cellStyle name="40% - Accent4 4 2 2 2 27 2" xfId="42379"/>
    <cellStyle name="40% - Accent4 4 2 2 2 28" xfId="20260"/>
    <cellStyle name="40% - Accent4 4 2 2 2 28 2" xfId="43035"/>
    <cellStyle name="40% - Accent4 4 2 2 2 29" xfId="20916"/>
    <cellStyle name="40% - Accent4 4 2 2 2 29 2" xfId="43691"/>
    <cellStyle name="40% - Accent4 4 2 2 2 3" xfId="2220"/>
    <cellStyle name="40% - Accent4 4 2 2 2 3 2" xfId="4516"/>
    <cellStyle name="40% - Accent4 4 2 2 2 3 2 2" xfId="27291"/>
    <cellStyle name="40% - Accent4 4 2 2 2 3 3" xfId="24995"/>
    <cellStyle name="40% - Accent4 4 2 2 2 30" xfId="21572"/>
    <cellStyle name="40% - Accent4 4 2 2 2 30 2" xfId="44347"/>
    <cellStyle name="40% - Accent4 4 2 2 2 31" xfId="22228"/>
    <cellStyle name="40% - Accent4 4 2 2 2 31 2" xfId="45003"/>
    <cellStyle name="40% - Accent4 4 2 2 2 32" xfId="22884"/>
    <cellStyle name="40% - Accent4 4 2 2 2 32 2" xfId="45659"/>
    <cellStyle name="40% - Accent4 4 2 2 2 33" xfId="23683"/>
    <cellStyle name="40% - Accent4 4 2 2 2 4" xfId="5172"/>
    <cellStyle name="40% - Accent4 4 2 2 2 4 2" xfId="27947"/>
    <cellStyle name="40% - Accent4 4 2 2 2 5" xfId="5828"/>
    <cellStyle name="40% - Accent4 4 2 2 2 5 2" xfId="28603"/>
    <cellStyle name="40% - Accent4 4 2 2 2 6" xfId="6484"/>
    <cellStyle name="40% - Accent4 4 2 2 2 6 2" xfId="29259"/>
    <cellStyle name="40% - Accent4 4 2 2 2 7" xfId="3204"/>
    <cellStyle name="40% - Accent4 4 2 2 2 7 2" xfId="25979"/>
    <cellStyle name="40% - Accent4 4 2 2 2 8" xfId="7140"/>
    <cellStyle name="40% - Accent4 4 2 2 2 8 2" xfId="29915"/>
    <cellStyle name="40% - Accent4 4 2 2 2 9" xfId="7796"/>
    <cellStyle name="40% - Accent4 4 2 2 2 9 2" xfId="30571"/>
    <cellStyle name="40% - Accent4 4 2 2 20" xfId="13372"/>
    <cellStyle name="40% - Accent4 4 2 2 20 2" xfId="36147"/>
    <cellStyle name="40% - Accent4 4 2 2 21" xfId="14028"/>
    <cellStyle name="40% - Accent4 4 2 2 21 2" xfId="36803"/>
    <cellStyle name="40% - Accent4 4 2 2 22" xfId="14684"/>
    <cellStyle name="40% - Accent4 4 2 2 22 2" xfId="37459"/>
    <cellStyle name="40% - Accent4 4 2 2 23" xfId="15340"/>
    <cellStyle name="40% - Accent4 4 2 2 23 2" xfId="38115"/>
    <cellStyle name="40% - Accent4 4 2 2 24" xfId="15996"/>
    <cellStyle name="40% - Accent4 4 2 2 24 2" xfId="38771"/>
    <cellStyle name="40% - Accent4 4 2 2 25" xfId="16652"/>
    <cellStyle name="40% - Accent4 4 2 2 25 2" xfId="39427"/>
    <cellStyle name="40% - Accent4 4 2 2 26" xfId="17308"/>
    <cellStyle name="40% - Accent4 4 2 2 26 2" xfId="40083"/>
    <cellStyle name="40% - Accent4 4 2 2 27" xfId="17964"/>
    <cellStyle name="40% - Accent4 4 2 2 27 2" xfId="40739"/>
    <cellStyle name="40% - Accent4 4 2 2 28" xfId="18620"/>
    <cellStyle name="40% - Accent4 4 2 2 28 2" xfId="41395"/>
    <cellStyle name="40% - Accent4 4 2 2 29" xfId="19276"/>
    <cellStyle name="40% - Accent4 4 2 2 29 2" xfId="42051"/>
    <cellStyle name="40% - Accent4 4 2 2 3" xfId="1236"/>
    <cellStyle name="40% - Accent4 4 2 2 3 2" xfId="2876"/>
    <cellStyle name="40% - Accent4 4 2 2 3 2 2" xfId="25651"/>
    <cellStyle name="40% - Accent4 4 2 2 3 3" xfId="24011"/>
    <cellStyle name="40% - Accent4 4 2 2 30" xfId="19932"/>
    <cellStyle name="40% - Accent4 4 2 2 30 2" xfId="42707"/>
    <cellStyle name="40% - Accent4 4 2 2 31" xfId="20588"/>
    <cellStyle name="40% - Accent4 4 2 2 31 2" xfId="43363"/>
    <cellStyle name="40% - Accent4 4 2 2 32" xfId="21244"/>
    <cellStyle name="40% - Accent4 4 2 2 32 2" xfId="44019"/>
    <cellStyle name="40% - Accent4 4 2 2 33" xfId="21900"/>
    <cellStyle name="40% - Accent4 4 2 2 33 2" xfId="44675"/>
    <cellStyle name="40% - Accent4 4 2 2 34" xfId="22556"/>
    <cellStyle name="40% - Accent4 4 2 2 34 2" xfId="45331"/>
    <cellStyle name="40% - Accent4 4 2 2 35" xfId="23355"/>
    <cellStyle name="40% - Accent4 4 2 2 4" xfId="1892"/>
    <cellStyle name="40% - Accent4 4 2 2 4 2" xfId="3532"/>
    <cellStyle name="40% - Accent4 4 2 2 4 2 2" xfId="26307"/>
    <cellStyle name="40% - Accent4 4 2 2 4 3" xfId="24667"/>
    <cellStyle name="40% - Accent4 4 2 2 5" xfId="4188"/>
    <cellStyle name="40% - Accent4 4 2 2 5 2" xfId="26963"/>
    <cellStyle name="40% - Accent4 4 2 2 6" xfId="4844"/>
    <cellStyle name="40% - Accent4 4 2 2 6 2" xfId="27619"/>
    <cellStyle name="40% - Accent4 4 2 2 7" xfId="5500"/>
    <cellStyle name="40% - Accent4 4 2 2 7 2" xfId="28275"/>
    <cellStyle name="40% - Accent4 4 2 2 8" xfId="6156"/>
    <cellStyle name="40% - Accent4 4 2 2 8 2" xfId="28931"/>
    <cellStyle name="40% - Accent4 4 2 2 9" xfId="2548"/>
    <cellStyle name="40% - Accent4 4 2 2 9 2" xfId="25323"/>
    <cellStyle name="40% - Accent4 4 2 20" xfId="12531"/>
    <cellStyle name="40% - Accent4 4 2 20 2" xfId="35306"/>
    <cellStyle name="40% - Accent4 4 2 21" xfId="13187"/>
    <cellStyle name="40% - Accent4 4 2 21 2" xfId="35962"/>
    <cellStyle name="40% - Accent4 4 2 22" xfId="13843"/>
    <cellStyle name="40% - Accent4 4 2 22 2" xfId="36618"/>
    <cellStyle name="40% - Accent4 4 2 23" xfId="14499"/>
    <cellStyle name="40% - Accent4 4 2 23 2" xfId="37274"/>
    <cellStyle name="40% - Accent4 4 2 24" xfId="15155"/>
    <cellStyle name="40% - Accent4 4 2 24 2" xfId="37930"/>
    <cellStyle name="40% - Accent4 4 2 25" xfId="15811"/>
    <cellStyle name="40% - Accent4 4 2 25 2" xfId="38586"/>
    <cellStyle name="40% - Accent4 4 2 26" xfId="16467"/>
    <cellStyle name="40% - Accent4 4 2 26 2" xfId="39242"/>
    <cellStyle name="40% - Accent4 4 2 27" xfId="17123"/>
    <cellStyle name="40% - Accent4 4 2 27 2" xfId="39898"/>
    <cellStyle name="40% - Accent4 4 2 28" xfId="17779"/>
    <cellStyle name="40% - Accent4 4 2 28 2" xfId="40554"/>
    <cellStyle name="40% - Accent4 4 2 29" xfId="18435"/>
    <cellStyle name="40% - Accent4 4 2 29 2" xfId="41210"/>
    <cellStyle name="40% - Accent4 4 2 3" xfId="723"/>
    <cellStyle name="40% - Accent4 4 2 3 10" xfId="8267"/>
    <cellStyle name="40% - Accent4 4 2 3 10 2" xfId="31042"/>
    <cellStyle name="40% - Accent4 4 2 3 11" xfId="8923"/>
    <cellStyle name="40% - Accent4 4 2 3 11 2" xfId="31698"/>
    <cellStyle name="40% - Accent4 4 2 3 12" xfId="9579"/>
    <cellStyle name="40% - Accent4 4 2 3 12 2" xfId="32354"/>
    <cellStyle name="40% - Accent4 4 2 3 13" xfId="10235"/>
    <cellStyle name="40% - Accent4 4 2 3 13 2" xfId="33010"/>
    <cellStyle name="40% - Accent4 4 2 3 14" xfId="10891"/>
    <cellStyle name="40% - Accent4 4 2 3 14 2" xfId="33666"/>
    <cellStyle name="40% - Accent4 4 2 3 15" xfId="11547"/>
    <cellStyle name="40% - Accent4 4 2 3 15 2" xfId="34322"/>
    <cellStyle name="40% - Accent4 4 2 3 16" xfId="12203"/>
    <cellStyle name="40% - Accent4 4 2 3 16 2" xfId="34978"/>
    <cellStyle name="40% - Accent4 4 2 3 17" xfId="12859"/>
    <cellStyle name="40% - Accent4 4 2 3 17 2" xfId="35634"/>
    <cellStyle name="40% - Accent4 4 2 3 18" xfId="13515"/>
    <cellStyle name="40% - Accent4 4 2 3 18 2" xfId="36290"/>
    <cellStyle name="40% - Accent4 4 2 3 19" xfId="14171"/>
    <cellStyle name="40% - Accent4 4 2 3 19 2" xfId="36946"/>
    <cellStyle name="40% - Accent4 4 2 3 2" xfId="1379"/>
    <cellStyle name="40% - Accent4 4 2 3 2 2" xfId="3675"/>
    <cellStyle name="40% - Accent4 4 2 3 2 2 2" xfId="26450"/>
    <cellStyle name="40% - Accent4 4 2 3 2 3" xfId="24154"/>
    <cellStyle name="40% - Accent4 4 2 3 20" xfId="14827"/>
    <cellStyle name="40% - Accent4 4 2 3 20 2" xfId="37602"/>
    <cellStyle name="40% - Accent4 4 2 3 21" xfId="15483"/>
    <cellStyle name="40% - Accent4 4 2 3 21 2" xfId="38258"/>
    <cellStyle name="40% - Accent4 4 2 3 22" xfId="16139"/>
    <cellStyle name="40% - Accent4 4 2 3 22 2" xfId="38914"/>
    <cellStyle name="40% - Accent4 4 2 3 23" xfId="16795"/>
    <cellStyle name="40% - Accent4 4 2 3 23 2" xfId="39570"/>
    <cellStyle name="40% - Accent4 4 2 3 24" xfId="17451"/>
    <cellStyle name="40% - Accent4 4 2 3 24 2" xfId="40226"/>
    <cellStyle name="40% - Accent4 4 2 3 25" xfId="18107"/>
    <cellStyle name="40% - Accent4 4 2 3 25 2" xfId="40882"/>
    <cellStyle name="40% - Accent4 4 2 3 26" xfId="18763"/>
    <cellStyle name="40% - Accent4 4 2 3 26 2" xfId="41538"/>
    <cellStyle name="40% - Accent4 4 2 3 27" xfId="19419"/>
    <cellStyle name="40% - Accent4 4 2 3 27 2" xfId="42194"/>
    <cellStyle name="40% - Accent4 4 2 3 28" xfId="20075"/>
    <cellStyle name="40% - Accent4 4 2 3 28 2" xfId="42850"/>
    <cellStyle name="40% - Accent4 4 2 3 29" xfId="20731"/>
    <cellStyle name="40% - Accent4 4 2 3 29 2" xfId="43506"/>
    <cellStyle name="40% - Accent4 4 2 3 3" xfId="2035"/>
    <cellStyle name="40% - Accent4 4 2 3 3 2" xfId="4331"/>
    <cellStyle name="40% - Accent4 4 2 3 3 2 2" xfId="27106"/>
    <cellStyle name="40% - Accent4 4 2 3 3 3" xfId="24810"/>
    <cellStyle name="40% - Accent4 4 2 3 30" xfId="21387"/>
    <cellStyle name="40% - Accent4 4 2 3 30 2" xfId="44162"/>
    <cellStyle name="40% - Accent4 4 2 3 31" xfId="22043"/>
    <cellStyle name="40% - Accent4 4 2 3 31 2" xfId="44818"/>
    <cellStyle name="40% - Accent4 4 2 3 32" xfId="22699"/>
    <cellStyle name="40% - Accent4 4 2 3 32 2" xfId="45474"/>
    <cellStyle name="40% - Accent4 4 2 3 33" xfId="23498"/>
    <cellStyle name="40% - Accent4 4 2 3 4" xfId="4987"/>
    <cellStyle name="40% - Accent4 4 2 3 4 2" xfId="27762"/>
    <cellStyle name="40% - Accent4 4 2 3 5" xfId="5643"/>
    <cellStyle name="40% - Accent4 4 2 3 5 2" xfId="28418"/>
    <cellStyle name="40% - Accent4 4 2 3 6" xfId="6299"/>
    <cellStyle name="40% - Accent4 4 2 3 6 2" xfId="29074"/>
    <cellStyle name="40% - Accent4 4 2 3 7" xfId="3019"/>
    <cellStyle name="40% - Accent4 4 2 3 7 2" xfId="25794"/>
    <cellStyle name="40% - Accent4 4 2 3 8" xfId="6955"/>
    <cellStyle name="40% - Accent4 4 2 3 8 2" xfId="29730"/>
    <cellStyle name="40% - Accent4 4 2 3 9" xfId="7611"/>
    <cellStyle name="40% - Accent4 4 2 3 9 2" xfId="30386"/>
    <cellStyle name="40% - Accent4 4 2 30" xfId="19091"/>
    <cellStyle name="40% - Accent4 4 2 30 2" xfId="41866"/>
    <cellStyle name="40% - Accent4 4 2 31" xfId="19747"/>
    <cellStyle name="40% - Accent4 4 2 31 2" xfId="42522"/>
    <cellStyle name="40% - Accent4 4 2 32" xfId="20403"/>
    <cellStyle name="40% - Accent4 4 2 32 2" xfId="43178"/>
    <cellStyle name="40% - Accent4 4 2 33" xfId="21059"/>
    <cellStyle name="40% - Accent4 4 2 33 2" xfId="43834"/>
    <cellStyle name="40% - Accent4 4 2 34" xfId="21715"/>
    <cellStyle name="40% - Accent4 4 2 34 2" xfId="44490"/>
    <cellStyle name="40% - Accent4 4 2 35" xfId="22371"/>
    <cellStyle name="40% - Accent4 4 2 35 2" xfId="45146"/>
    <cellStyle name="40% - Accent4 4 2 36" xfId="23027"/>
    <cellStyle name="40% - Accent4 4 2 4" xfId="396"/>
    <cellStyle name="40% - Accent4 4 2 4 2" xfId="2691"/>
    <cellStyle name="40% - Accent4 4 2 4 2 2" xfId="25466"/>
    <cellStyle name="40% - Accent4 4 2 4 3" xfId="23170"/>
    <cellStyle name="40% - Accent4 4 2 5" xfId="1051"/>
    <cellStyle name="40% - Accent4 4 2 5 2" xfId="3347"/>
    <cellStyle name="40% - Accent4 4 2 5 2 2" xfId="26122"/>
    <cellStyle name="40% - Accent4 4 2 5 3" xfId="23826"/>
    <cellStyle name="40% - Accent4 4 2 6" xfId="1707"/>
    <cellStyle name="40% - Accent4 4 2 6 2" xfId="4003"/>
    <cellStyle name="40% - Accent4 4 2 6 2 2" xfId="26778"/>
    <cellStyle name="40% - Accent4 4 2 6 3" xfId="24482"/>
    <cellStyle name="40% - Accent4 4 2 7" xfId="4659"/>
    <cellStyle name="40% - Accent4 4 2 7 2" xfId="27434"/>
    <cellStyle name="40% - Accent4 4 2 8" xfId="5315"/>
    <cellStyle name="40% - Accent4 4 2 8 2" xfId="28090"/>
    <cellStyle name="40% - Accent4 4 2 9" xfId="5971"/>
    <cellStyle name="40% - Accent4 4 2 9 2" xfId="28746"/>
    <cellStyle name="40% - Accent4 4 20" xfId="11804"/>
    <cellStyle name="40% - Accent4 4 20 2" xfId="34579"/>
    <cellStyle name="40% - Accent4 4 21" xfId="12460"/>
    <cellStyle name="40% - Accent4 4 21 2" xfId="35235"/>
    <cellStyle name="40% - Accent4 4 22" xfId="13116"/>
    <cellStyle name="40% - Accent4 4 22 2" xfId="35891"/>
    <cellStyle name="40% - Accent4 4 23" xfId="13772"/>
    <cellStyle name="40% - Accent4 4 23 2" xfId="36547"/>
    <cellStyle name="40% - Accent4 4 24" xfId="14428"/>
    <cellStyle name="40% - Accent4 4 24 2" xfId="37203"/>
    <cellStyle name="40% - Accent4 4 25" xfId="15084"/>
    <cellStyle name="40% - Accent4 4 25 2" xfId="37859"/>
    <cellStyle name="40% - Accent4 4 26" xfId="15740"/>
    <cellStyle name="40% - Accent4 4 26 2" xfId="38515"/>
    <cellStyle name="40% - Accent4 4 27" xfId="16396"/>
    <cellStyle name="40% - Accent4 4 27 2" xfId="39171"/>
    <cellStyle name="40% - Accent4 4 28" xfId="17052"/>
    <cellStyle name="40% - Accent4 4 28 2" xfId="39827"/>
    <cellStyle name="40% - Accent4 4 29" xfId="17708"/>
    <cellStyle name="40% - Accent4 4 29 2" xfId="40483"/>
    <cellStyle name="40% - Accent4 4 3" xfId="509"/>
    <cellStyle name="40% - Accent4 4 3 10" xfId="6741"/>
    <cellStyle name="40% - Accent4 4 3 10 2" xfId="29516"/>
    <cellStyle name="40% - Accent4 4 3 11" xfId="7397"/>
    <cellStyle name="40% - Accent4 4 3 11 2" xfId="30172"/>
    <cellStyle name="40% - Accent4 4 3 12" xfId="8053"/>
    <cellStyle name="40% - Accent4 4 3 12 2" xfId="30828"/>
    <cellStyle name="40% - Accent4 4 3 13" xfId="8709"/>
    <cellStyle name="40% - Accent4 4 3 13 2" xfId="31484"/>
    <cellStyle name="40% - Accent4 4 3 14" xfId="9365"/>
    <cellStyle name="40% - Accent4 4 3 14 2" xfId="32140"/>
    <cellStyle name="40% - Accent4 4 3 15" xfId="10021"/>
    <cellStyle name="40% - Accent4 4 3 15 2" xfId="32796"/>
    <cellStyle name="40% - Accent4 4 3 16" xfId="10677"/>
    <cellStyle name="40% - Accent4 4 3 16 2" xfId="33452"/>
    <cellStyle name="40% - Accent4 4 3 17" xfId="11333"/>
    <cellStyle name="40% - Accent4 4 3 17 2" xfId="34108"/>
    <cellStyle name="40% - Accent4 4 3 18" xfId="11989"/>
    <cellStyle name="40% - Accent4 4 3 18 2" xfId="34764"/>
    <cellStyle name="40% - Accent4 4 3 19" xfId="12645"/>
    <cellStyle name="40% - Accent4 4 3 19 2" xfId="35420"/>
    <cellStyle name="40% - Accent4 4 3 2" xfId="837"/>
    <cellStyle name="40% - Accent4 4 3 2 10" xfId="8381"/>
    <cellStyle name="40% - Accent4 4 3 2 10 2" xfId="31156"/>
    <cellStyle name="40% - Accent4 4 3 2 11" xfId="9037"/>
    <cellStyle name="40% - Accent4 4 3 2 11 2" xfId="31812"/>
    <cellStyle name="40% - Accent4 4 3 2 12" xfId="9693"/>
    <cellStyle name="40% - Accent4 4 3 2 12 2" xfId="32468"/>
    <cellStyle name="40% - Accent4 4 3 2 13" xfId="10349"/>
    <cellStyle name="40% - Accent4 4 3 2 13 2" xfId="33124"/>
    <cellStyle name="40% - Accent4 4 3 2 14" xfId="11005"/>
    <cellStyle name="40% - Accent4 4 3 2 14 2" xfId="33780"/>
    <cellStyle name="40% - Accent4 4 3 2 15" xfId="11661"/>
    <cellStyle name="40% - Accent4 4 3 2 15 2" xfId="34436"/>
    <cellStyle name="40% - Accent4 4 3 2 16" xfId="12317"/>
    <cellStyle name="40% - Accent4 4 3 2 16 2" xfId="35092"/>
    <cellStyle name="40% - Accent4 4 3 2 17" xfId="12973"/>
    <cellStyle name="40% - Accent4 4 3 2 17 2" xfId="35748"/>
    <cellStyle name="40% - Accent4 4 3 2 18" xfId="13629"/>
    <cellStyle name="40% - Accent4 4 3 2 18 2" xfId="36404"/>
    <cellStyle name="40% - Accent4 4 3 2 19" xfId="14285"/>
    <cellStyle name="40% - Accent4 4 3 2 19 2" xfId="37060"/>
    <cellStyle name="40% - Accent4 4 3 2 2" xfId="1493"/>
    <cellStyle name="40% - Accent4 4 3 2 2 2" xfId="3789"/>
    <cellStyle name="40% - Accent4 4 3 2 2 2 2" xfId="26564"/>
    <cellStyle name="40% - Accent4 4 3 2 2 3" xfId="24268"/>
    <cellStyle name="40% - Accent4 4 3 2 20" xfId="14941"/>
    <cellStyle name="40% - Accent4 4 3 2 20 2" xfId="37716"/>
    <cellStyle name="40% - Accent4 4 3 2 21" xfId="15597"/>
    <cellStyle name="40% - Accent4 4 3 2 21 2" xfId="38372"/>
    <cellStyle name="40% - Accent4 4 3 2 22" xfId="16253"/>
    <cellStyle name="40% - Accent4 4 3 2 22 2" xfId="39028"/>
    <cellStyle name="40% - Accent4 4 3 2 23" xfId="16909"/>
    <cellStyle name="40% - Accent4 4 3 2 23 2" xfId="39684"/>
    <cellStyle name="40% - Accent4 4 3 2 24" xfId="17565"/>
    <cellStyle name="40% - Accent4 4 3 2 24 2" xfId="40340"/>
    <cellStyle name="40% - Accent4 4 3 2 25" xfId="18221"/>
    <cellStyle name="40% - Accent4 4 3 2 25 2" xfId="40996"/>
    <cellStyle name="40% - Accent4 4 3 2 26" xfId="18877"/>
    <cellStyle name="40% - Accent4 4 3 2 26 2" xfId="41652"/>
    <cellStyle name="40% - Accent4 4 3 2 27" xfId="19533"/>
    <cellStyle name="40% - Accent4 4 3 2 27 2" xfId="42308"/>
    <cellStyle name="40% - Accent4 4 3 2 28" xfId="20189"/>
    <cellStyle name="40% - Accent4 4 3 2 28 2" xfId="42964"/>
    <cellStyle name="40% - Accent4 4 3 2 29" xfId="20845"/>
    <cellStyle name="40% - Accent4 4 3 2 29 2" xfId="43620"/>
    <cellStyle name="40% - Accent4 4 3 2 3" xfId="2149"/>
    <cellStyle name="40% - Accent4 4 3 2 3 2" xfId="4445"/>
    <cellStyle name="40% - Accent4 4 3 2 3 2 2" xfId="27220"/>
    <cellStyle name="40% - Accent4 4 3 2 3 3" xfId="24924"/>
    <cellStyle name="40% - Accent4 4 3 2 30" xfId="21501"/>
    <cellStyle name="40% - Accent4 4 3 2 30 2" xfId="44276"/>
    <cellStyle name="40% - Accent4 4 3 2 31" xfId="22157"/>
    <cellStyle name="40% - Accent4 4 3 2 31 2" xfId="44932"/>
    <cellStyle name="40% - Accent4 4 3 2 32" xfId="22813"/>
    <cellStyle name="40% - Accent4 4 3 2 32 2" xfId="45588"/>
    <cellStyle name="40% - Accent4 4 3 2 33" xfId="23612"/>
    <cellStyle name="40% - Accent4 4 3 2 4" xfId="5101"/>
    <cellStyle name="40% - Accent4 4 3 2 4 2" xfId="27876"/>
    <cellStyle name="40% - Accent4 4 3 2 5" xfId="5757"/>
    <cellStyle name="40% - Accent4 4 3 2 5 2" xfId="28532"/>
    <cellStyle name="40% - Accent4 4 3 2 6" xfId="6413"/>
    <cellStyle name="40% - Accent4 4 3 2 6 2" xfId="29188"/>
    <cellStyle name="40% - Accent4 4 3 2 7" xfId="3133"/>
    <cellStyle name="40% - Accent4 4 3 2 7 2" xfId="25908"/>
    <cellStyle name="40% - Accent4 4 3 2 8" xfId="7069"/>
    <cellStyle name="40% - Accent4 4 3 2 8 2" xfId="29844"/>
    <cellStyle name="40% - Accent4 4 3 2 9" xfId="7725"/>
    <cellStyle name="40% - Accent4 4 3 2 9 2" xfId="30500"/>
    <cellStyle name="40% - Accent4 4 3 20" xfId="13301"/>
    <cellStyle name="40% - Accent4 4 3 20 2" xfId="36076"/>
    <cellStyle name="40% - Accent4 4 3 21" xfId="13957"/>
    <cellStyle name="40% - Accent4 4 3 21 2" xfId="36732"/>
    <cellStyle name="40% - Accent4 4 3 22" xfId="14613"/>
    <cellStyle name="40% - Accent4 4 3 22 2" xfId="37388"/>
    <cellStyle name="40% - Accent4 4 3 23" xfId="15269"/>
    <cellStyle name="40% - Accent4 4 3 23 2" xfId="38044"/>
    <cellStyle name="40% - Accent4 4 3 24" xfId="15925"/>
    <cellStyle name="40% - Accent4 4 3 24 2" xfId="38700"/>
    <cellStyle name="40% - Accent4 4 3 25" xfId="16581"/>
    <cellStyle name="40% - Accent4 4 3 25 2" xfId="39356"/>
    <cellStyle name="40% - Accent4 4 3 26" xfId="17237"/>
    <cellStyle name="40% - Accent4 4 3 26 2" xfId="40012"/>
    <cellStyle name="40% - Accent4 4 3 27" xfId="17893"/>
    <cellStyle name="40% - Accent4 4 3 27 2" xfId="40668"/>
    <cellStyle name="40% - Accent4 4 3 28" xfId="18549"/>
    <cellStyle name="40% - Accent4 4 3 28 2" xfId="41324"/>
    <cellStyle name="40% - Accent4 4 3 29" xfId="19205"/>
    <cellStyle name="40% - Accent4 4 3 29 2" xfId="41980"/>
    <cellStyle name="40% - Accent4 4 3 3" xfId="1165"/>
    <cellStyle name="40% - Accent4 4 3 3 2" xfId="2805"/>
    <cellStyle name="40% - Accent4 4 3 3 2 2" xfId="25580"/>
    <cellStyle name="40% - Accent4 4 3 3 3" xfId="23940"/>
    <cellStyle name="40% - Accent4 4 3 30" xfId="19861"/>
    <cellStyle name="40% - Accent4 4 3 30 2" xfId="42636"/>
    <cellStyle name="40% - Accent4 4 3 31" xfId="20517"/>
    <cellStyle name="40% - Accent4 4 3 31 2" xfId="43292"/>
    <cellStyle name="40% - Accent4 4 3 32" xfId="21173"/>
    <cellStyle name="40% - Accent4 4 3 32 2" xfId="43948"/>
    <cellStyle name="40% - Accent4 4 3 33" xfId="21829"/>
    <cellStyle name="40% - Accent4 4 3 33 2" xfId="44604"/>
    <cellStyle name="40% - Accent4 4 3 34" xfId="22485"/>
    <cellStyle name="40% - Accent4 4 3 34 2" xfId="45260"/>
    <cellStyle name="40% - Accent4 4 3 35" xfId="23284"/>
    <cellStyle name="40% - Accent4 4 3 4" xfId="1821"/>
    <cellStyle name="40% - Accent4 4 3 4 2" xfId="3461"/>
    <cellStyle name="40% - Accent4 4 3 4 2 2" xfId="26236"/>
    <cellStyle name="40% - Accent4 4 3 4 3" xfId="24596"/>
    <cellStyle name="40% - Accent4 4 3 5" xfId="4117"/>
    <cellStyle name="40% - Accent4 4 3 5 2" xfId="26892"/>
    <cellStyle name="40% - Accent4 4 3 6" xfId="4773"/>
    <cellStyle name="40% - Accent4 4 3 6 2" xfId="27548"/>
    <cellStyle name="40% - Accent4 4 3 7" xfId="5429"/>
    <cellStyle name="40% - Accent4 4 3 7 2" xfId="28204"/>
    <cellStyle name="40% - Accent4 4 3 8" xfId="6085"/>
    <cellStyle name="40% - Accent4 4 3 8 2" xfId="28860"/>
    <cellStyle name="40% - Accent4 4 3 9" xfId="2477"/>
    <cellStyle name="40% - Accent4 4 3 9 2" xfId="25252"/>
    <cellStyle name="40% - Accent4 4 30" xfId="18364"/>
    <cellStyle name="40% - Accent4 4 30 2" xfId="41139"/>
    <cellStyle name="40% - Accent4 4 31" xfId="19020"/>
    <cellStyle name="40% - Accent4 4 31 2" xfId="41795"/>
    <cellStyle name="40% - Accent4 4 32" xfId="19676"/>
    <cellStyle name="40% - Accent4 4 32 2" xfId="42451"/>
    <cellStyle name="40% - Accent4 4 33" xfId="20332"/>
    <cellStyle name="40% - Accent4 4 33 2" xfId="43107"/>
    <cellStyle name="40% - Accent4 4 34" xfId="20988"/>
    <cellStyle name="40% - Accent4 4 34 2" xfId="43763"/>
    <cellStyle name="40% - Accent4 4 35" xfId="21644"/>
    <cellStyle name="40% - Accent4 4 35 2" xfId="44419"/>
    <cellStyle name="40% - Accent4 4 36" xfId="22300"/>
    <cellStyle name="40% - Accent4 4 36 2" xfId="45075"/>
    <cellStyle name="40% - Accent4 4 37" xfId="239"/>
    <cellStyle name="40% - Accent4 4 38" xfId="22956"/>
    <cellStyle name="40% - Accent4 4 4" xfId="652"/>
    <cellStyle name="40% - Accent4 4 4 10" xfId="8196"/>
    <cellStyle name="40% - Accent4 4 4 10 2" xfId="30971"/>
    <cellStyle name="40% - Accent4 4 4 11" xfId="8852"/>
    <cellStyle name="40% - Accent4 4 4 11 2" xfId="31627"/>
    <cellStyle name="40% - Accent4 4 4 12" xfId="9508"/>
    <cellStyle name="40% - Accent4 4 4 12 2" xfId="32283"/>
    <cellStyle name="40% - Accent4 4 4 13" xfId="10164"/>
    <cellStyle name="40% - Accent4 4 4 13 2" xfId="32939"/>
    <cellStyle name="40% - Accent4 4 4 14" xfId="10820"/>
    <cellStyle name="40% - Accent4 4 4 14 2" xfId="33595"/>
    <cellStyle name="40% - Accent4 4 4 15" xfId="11476"/>
    <cellStyle name="40% - Accent4 4 4 15 2" xfId="34251"/>
    <cellStyle name="40% - Accent4 4 4 16" xfId="12132"/>
    <cellStyle name="40% - Accent4 4 4 16 2" xfId="34907"/>
    <cellStyle name="40% - Accent4 4 4 17" xfId="12788"/>
    <cellStyle name="40% - Accent4 4 4 17 2" xfId="35563"/>
    <cellStyle name="40% - Accent4 4 4 18" xfId="13444"/>
    <cellStyle name="40% - Accent4 4 4 18 2" xfId="36219"/>
    <cellStyle name="40% - Accent4 4 4 19" xfId="14100"/>
    <cellStyle name="40% - Accent4 4 4 19 2" xfId="36875"/>
    <cellStyle name="40% - Accent4 4 4 2" xfId="1308"/>
    <cellStyle name="40% - Accent4 4 4 2 2" xfId="3604"/>
    <cellStyle name="40% - Accent4 4 4 2 2 2" xfId="26379"/>
    <cellStyle name="40% - Accent4 4 4 2 3" xfId="24083"/>
    <cellStyle name="40% - Accent4 4 4 20" xfId="14756"/>
    <cellStyle name="40% - Accent4 4 4 20 2" xfId="37531"/>
    <cellStyle name="40% - Accent4 4 4 21" xfId="15412"/>
    <cellStyle name="40% - Accent4 4 4 21 2" xfId="38187"/>
    <cellStyle name="40% - Accent4 4 4 22" xfId="16068"/>
    <cellStyle name="40% - Accent4 4 4 22 2" xfId="38843"/>
    <cellStyle name="40% - Accent4 4 4 23" xfId="16724"/>
    <cellStyle name="40% - Accent4 4 4 23 2" xfId="39499"/>
    <cellStyle name="40% - Accent4 4 4 24" xfId="17380"/>
    <cellStyle name="40% - Accent4 4 4 24 2" xfId="40155"/>
    <cellStyle name="40% - Accent4 4 4 25" xfId="18036"/>
    <cellStyle name="40% - Accent4 4 4 25 2" xfId="40811"/>
    <cellStyle name="40% - Accent4 4 4 26" xfId="18692"/>
    <cellStyle name="40% - Accent4 4 4 26 2" xfId="41467"/>
    <cellStyle name="40% - Accent4 4 4 27" xfId="19348"/>
    <cellStyle name="40% - Accent4 4 4 27 2" xfId="42123"/>
    <cellStyle name="40% - Accent4 4 4 28" xfId="20004"/>
    <cellStyle name="40% - Accent4 4 4 28 2" xfId="42779"/>
    <cellStyle name="40% - Accent4 4 4 29" xfId="20660"/>
    <cellStyle name="40% - Accent4 4 4 29 2" xfId="43435"/>
    <cellStyle name="40% - Accent4 4 4 3" xfId="1964"/>
    <cellStyle name="40% - Accent4 4 4 3 2" xfId="4260"/>
    <cellStyle name="40% - Accent4 4 4 3 2 2" xfId="27035"/>
    <cellStyle name="40% - Accent4 4 4 3 3" xfId="24739"/>
    <cellStyle name="40% - Accent4 4 4 30" xfId="21316"/>
    <cellStyle name="40% - Accent4 4 4 30 2" xfId="44091"/>
    <cellStyle name="40% - Accent4 4 4 31" xfId="21972"/>
    <cellStyle name="40% - Accent4 4 4 31 2" xfId="44747"/>
    <cellStyle name="40% - Accent4 4 4 32" xfId="22628"/>
    <cellStyle name="40% - Accent4 4 4 32 2" xfId="45403"/>
    <cellStyle name="40% - Accent4 4 4 33" xfId="23427"/>
    <cellStyle name="40% - Accent4 4 4 4" xfId="4916"/>
    <cellStyle name="40% - Accent4 4 4 4 2" xfId="27691"/>
    <cellStyle name="40% - Accent4 4 4 5" xfId="5572"/>
    <cellStyle name="40% - Accent4 4 4 5 2" xfId="28347"/>
    <cellStyle name="40% - Accent4 4 4 6" xfId="6228"/>
    <cellStyle name="40% - Accent4 4 4 6 2" xfId="29003"/>
    <cellStyle name="40% - Accent4 4 4 7" xfId="2948"/>
    <cellStyle name="40% - Accent4 4 4 7 2" xfId="25723"/>
    <cellStyle name="40% - Accent4 4 4 8" xfId="6884"/>
    <cellStyle name="40% - Accent4 4 4 8 2" xfId="29659"/>
    <cellStyle name="40% - Accent4 4 4 9" xfId="7540"/>
    <cellStyle name="40% - Accent4 4 4 9 2" xfId="30315"/>
    <cellStyle name="40% - Accent4 4 5" xfId="325"/>
    <cellStyle name="40% - Accent4 4 5 2" xfId="2620"/>
    <cellStyle name="40% - Accent4 4 5 2 2" xfId="25395"/>
    <cellStyle name="40% - Accent4 4 5 3" xfId="23099"/>
    <cellStyle name="40% - Accent4 4 6" xfId="980"/>
    <cellStyle name="40% - Accent4 4 6 2" xfId="3276"/>
    <cellStyle name="40% - Accent4 4 6 2 2" xfId="26051"/>
    <cellStyle name="40% - Accent4 4 6 3" xfId="23755"/>
    <cellStyle name="40% - Accent4 4 7" xfId="1636"/>
    <cellStyle name="40% - Accent4 4 7 2" xfId="3932"/>
    <cellStyle name="40% - Accent4 4 7 2 2" xfId="26707"/>
    <cellStyle name="40% - Accent4 4 7 3" xfId="24411"/>
    <cellStyle name="40% - Accent4 4 8" xfId="4588"/>
    <cellStyle name="40% - Accent4 4 8 2" xfId="27363"/>
    <cellStyle name="40% - Accent4 4 9" xfId="5244"/>
    <cellStyle name="40% - Accent4 4 9 2" xfId="28019"/>
    <cellStyle name="40% - Accent4 40" xfId="20287"/>
    <cellStyle name="40% - Accent4 40 2" xfId="43062"/>
    <cellStyle name="40% - Accent4 41" xfId="20943"/>
    <cellStyle name="40% - Accent4 41 2" xfId="43718"/>
    <cellStyle name="40% - Accent4 42" xfId="21599"/>
    <cellStyle name="40% - Accent4 42 2" xfId="44374"/>
    <cellStyle name="40% - Accent4 43" xfId="22255"/>
    <cellStyle name="40% - Accent4 43 2" xfId="45030"/>
    <cellStyle name="40% - Accent4 44" xfId="194"/>
    <cellStyle name="40% - Accent4 45" xfId="22911"/>
    <cellStyle name="40% - Accent4 5" xfId="108"/>
    <cellStyle name="40% - Accent4 5 10" xfId="5914"/>
    <cellStyle name="40% - Accent4 5 10 2" xfId="28689"/>
    <cellStyle name="40% - Accent4 5 11" xfId="2306"/>
    <cellStyle name="40% - Accent4 5 11 2" xfId="25081"/>
    <cellStyle name="40% - Accent4 5 12" xfId="6570"/>
    <cellStyle name="40% - Accent4 5 12 2" xfId="29345"/>
    <cellStyle name="40% - Accent4 5 13" xfId="7226"/>
    <cellStyle name="40% - Accent4 5 13 2" xfId="30001"/>
    <cellStyle name="40% - Accent4 5 14" xfId="7882"/>
    <cellStyle name="40% - Accent4 5 14 2" xfId="30657"/>
    <cellStyle name="40% - Accent4 5 15" xfId="8538"/>
    <cellStyle name="40% - Accent4 5 15 2" xfId="31313"/>
    <cellStyle name="40% - Accent4 5 16" xfId="9194"/>
    <cellStyle name="40% - Accent4 5 16 2" xfId="31969"/>
    <cellStyle name="40% - Accent4 5 17" xfId="9850"/>
    <cellStyle name="40% - Accent4 5 17 2" xfId="32625"/>
    <cellStyle name="40% - Accent4 5 18" xfId="10506"/>
    <cellStyle name="40% - Accent4 5 18 2" xfId="33281"/>
    <cellStyle name="40% - Accent4 5 19" xfId="11162"/>
    <cellStyle name="40% - Accent4 5 19 2" xfId="33937"/>
    <cellStyle name="40% - Accent4 5 2" xfId="179"/>
    <cellStyle name="40% - Accent4 5 2 10" xfId="2377"/>
    <cellStyle name="40% - Accent4 5 2 10 2" xfId="25152"/>
    <cellStyle name="40% - Accent4 5 2 11" xfId="6641"/>
    <cellStyle name="40% - Accent4 5 2 11 2" xfId="29416"/>
    <cellStyle name="40% - Accent4 5 2 12" xfId="7297"/>
    <cellStyle name="40% - Accent4 5 2 12 2" xfId="30072"/>
    <cellStyle name="40% - Accent4 5 2 13" xfId="7953"/>
    <cellStyle name="40% - Accent4 5 2 13 2" xfId="30728"/>
    <cellStyle name="40% - Accent4 5 2 14" xfId="8609"/>
    <cellStyle name="40% - Accent4 5 2 14 2" xfId="31384"/>
    <cellStyle name="40% - Accent4 5 2 15" xfId="9265"/>
    <cellStyle name="40% - Accent4 5 2 15 2" xfId="32040"/>
    <cellStyle name="40% - Accent4 5 2 16" xfId="9921"/>
    <cellStyle name="40% - Accent4 5 2 16 2" xfId="32696"/>
    <cellStyle name="40% - Accent4 5 2 17" xfId="10577"/>
    <cellStyle name="40% - Accent4 5 2 17 2" xfId="33352"/>
    <cellStyle name="40% - Accent4 5 2 18" xfId="11233"/>
    <cellStyle name="40% - Accent4 5 2 18 2" xfId="34008"/>
    <cellStyle name="40% - Accent4 5 2 19" xfId="11889"/>
    <cellStyle name="40% - Accent4 5 2 19 2" xfId="34664"/>
    <cellStyle name="40% - Accent4 5 2 2" xfId="593"/>
    <cellStyle name="40% - Accent4 5 2 2 10" xfId="6826"/>
    <cellStyle name="40% - Accent4 5 2 2 10 2" xfId="29601"/>
    <cellStyle name="40% - Accent4 5 2 2 11" xfId="7482"/>
    <cellStyle name="40% - Accent4 5 2 2 11 2" xfId="30257"/>
    <cellStyle name="40% - Accent4 5 2 2 12" xfId="8138"/>
    <cellStyle name="40% - Accent4 5 2 2 12 2" xfId="30913"/>
    <cellStyle name="40% - Accent4 5 2 2 13" xfId="8794"/>
    <cellStyle name="40% - Accent4 5 2 2 13 2" xfId="31569"/>
    <cellStyle name="40% - Accent4 5 2 2 14" xfId="9450"/>
    <cellStyle name="40% - Accent4 5 2 2 14 2" xfId="32225"/>
    <cellStyle name="40% - Accent4 5 2 2 15" xfId="10106"/>
    <cellStyle name="40% - Accent4 5 2 2 15 2" xfId="32881"/>
    <cellStyle name="40% - Accent4 5 2 2 16" xfId="10762"/>
    <cellStyle name="40% - Accent4 5 2 2 16 2" xfId="33537"/>
    <cellStyle name="40% - Accent4 5 2 2 17" xfId="11418"/>
    <cellStyle name="40% - Accent4 5 2 2 17 2" xfId="34193"/>
    <cellStyle name="40% - Accent4 5 2 2 18" xfId="12074"/>
    <cellStyle name="40% - Accent4 5 2 2 18 2" xfId="34849"/>
    <cellStyle name="40% - Accent4 5 2 2 19" xfId="12730"/>
    <cellStyle name="40% - Accent4 5 2 2 19 2" xfId="35505"/>
    <cellStyle name="40% - Accent4 5 2 2 2" xfId="922"/>
    <cellStyle name="40% - Accent4 5 2 2 2 10" xfId="8466"/>
    <cellStyle name="40% - Accent4 5 2 2 2 10 2" xfId="31241"/>
    <cellStyle name="40% - Accent4 5 2 2 2 11" xfId="9122"/>
    <cellStyle name="40% - Accent4 5 2 2 2 11 2" xfId="31897"/>
    <cellStyle name="40% - Accent4 5 2 2 2 12" xfId="9778"/>
    <cellStyle name="40% - Accent4 5 2 2 2 12 2" xfId="32553"/>
    <cellStyle name="40% - Accent4 5 2 2 2 13" xfId="10434"/>
    <cellStyle name="40% - Accent4 5 2 2 2 13 2" xfId="33209"/>
    <cellStyle name="40% - Accent4 5 2 2 2 14" xfId="11090"/>
    <cellStyle name="40% - Accent4 5 2 2 2 14 2" xfId="33865"/>
    <cellStyle name="40% - Accent4 5 2 2 2 15" xfId="11746"/>
    <cellStyle name="40% - Accent4 5 2 2 2 15 2" xfId="34521"/>
    <cellStyle name="40% - Accent4 5 2 2 2 16" xfId="12402"/>
    <cellStyle name="40% - Accent4 5 2 2 2 16 2" xfId="35177"/>
    <cellStyle name="40% - Accent4 5 2 2 2 17" xfId="13058"/>
    <cellStyle name="40% - Accent4 5 2 2 2 17 2" xfId="35833"/>
    <cellStyle name="40% - Accent4 5 2 2 2 18" xfId="13714"/>
    <cellStyle name="40% - Accent4 5 2 2 2 18 2" xfId="36489"/>
    <cellStyle name="40% - Accent4 5 2 2 2 19" xfId="14370"/>
    <cellStyle name="40% - Accent4 5 2 2 2 19 2" xfId="37145"/>
    <cellStyle name="40% - Accent4 5 2 2 2 2" xfId="1578"/>
    <cellStyle name="40% - Accent4 5 2 2 2 2 2" xfId="3874"/>
    <cellStyle name="40% - Accent4 5 2 2 2 2 2 2" xfId="26649"/>
    <cellStyle name="40% - Accent4 5 2 2 2 2 3" xfId="24353"/>
    <cellStyle name="40% - Accent4 5 2 2 2 20" xfId="15026"/>
    <cellStyle name="40% - Accent4 5 2 2 2 20 2" xfId="37801"/>
    <cellStyle name="40% - Accent4 5 2 2 2 21" xfId="15682"/>
    <cellStyle name="40% - Accent4 5 2 2 2 21 2" xfId="38457"/>
    <cellStyle name="40% - Accent4 5 2 2 2 22" xfId="16338"/>
    <cellStyle name="40% - Accent4 5 2 2 2 22 2" xfId="39113"/>
    <cellStyle name="40% - Accent4 5 2 2 2 23" xfId="16994"/>
    <cellStyle name="40% - Accent4 5 2 2 2 23 2" xfId="39769"/>
    <cellStyle name="40% - Accent4 5 2 2 2 24" xfId="17650"/>
    <cellStyle name="40% - Accent4 5 2 2 2 24 2" xfId="40425"/>
    <cellStyle name="40% - Accent4 5 2 2 2 25" xfId="18306"/>
    <cellStyle name="40% - Accent4 5 2 2 2 25 2" xfId="41081"/>
    <cellStyle name="40% - Accent4 5 2 2 2 26" xfId="18962"/>
    <cellStyle name="40% - Accent4 5 2 2 2 26 2" xfId="41737"/>
    <cellStyle name="40% - Accent4 5 2 2 2 27" xfId="19618"/>
    <cellStyle name="40% - Accent4 5 2 2 2 27 2" xfId="42393"/>
    <cellStyle name="40% - Accent4 5 2 2 2 28" xfId="20274"/>
    <cellStyle name="40% - Accent4 5 2 2 2 28 2" xfId="43049"/>
    <cellStyle name="40% - Accent4 5 2 2 2 29" xfId="20930"/>
    <cellStyle name="40% - Accent4 5 2 2 2 29 2" xfId="43705"/>
    <cellStyle name="40% - Accent4 5 2 2 2 3" xfId="2234"/>
    <cellStyle name="40% - Accent4 5 2 2 2 3 2" xfId="4530"/>
    <cellStyle name="40% - Accent4 5 2 2 2 3 2 2" xfId="27305"/>
    <cellStyle name="40% - Accent4 5 2 2 2 3 3" xfId="25009"/>
    <cellStyle name="40% - Accent4 5 2 2 2 30" xfId="21586"/>
    <cellStyle name="40% - Accent4 5 2 2 2 30 2" xfId="44361"/>
    <cellStyle name="40% - Accent4 5 2 2 2 31" xfId="22242"/>
    <cellStyle name="40% - Accent4 5 2 2 2 31 2" xfId="45017"/>
    <cellStyle name="40% - Accent4 5 2 2 2 32" xfId="22898"/>
    <cellStyle name="40% - Accent4 5 2 2 2 32 2" xfId="45673"/>
    <cellStyle name="40% - Accent4 5 2 2 2 33" xfId="23697"/>
    <cellStyle name="40% - Accent4 5 2 2 2 4" xfId="5186"/>
    <cellStyle name="40% - Accent4 5 2 2 2 4 2" xfId="27961"/>
    <cellStyle name="40% - Accent4 5 2 2 2 5" xfId="5842"/>
    <cellStyle name="40% - Accent4 5 2 2 2 5 2" xfId="28617"/>
    <cellStyle name="40% - Accent4 5 2 2 2 6" xfId="6498"/>
    <cellStyle name="40% - Accent4 5 2 2 2 6 2" xfId="29273"/>
    <cellStyle name="40% - Accent4 5 2 2 2 7" xfId="3218"/>
    <cellStyle name="40% - Accent4 5 2 2 2 7 2" xfId="25993"/>
    <cellStyle name="40% - Accent4 5 2 2 2 8" xfId="7154"/>
    <cellStyle name="40% - Accent4 5 2 2 2 8 2" xfId="29929"/>
    <cellStyle name="40% - Accent4 5 2 2 2 9" xfId="7810"/>
    <cellStyle name="40% - Accent4 5 2 2 2 9 2" xfId="30585"/>
    <cellStyle name="40% - Accent4 5 2 2 20" xfId="13386"/>
    <cellStyle name="40% - Accent4 5 2 2 20 2" xfId="36161"/>
    <cellStyle name="40% - Accent4 5 2 2 21" xfId="14042"/>
    <cellStyle name="40% - Accent4 5 2 2 21 2" xfId="36817"/>
    <cellStyle name="40% - Accent4 5 2 2 22" xfId="14698"/>
    <cellStyle name="40% - Accent4 5 2 2 22 2" xfId="37473"/>
    <cellStyle name="40% - Accent4 5 2 2 23" xfId="15354"/>
    <cellStyle name="40% - Accent4 5 2 2 23 2" xfId="38129"/>
    <cellStyle name="40% - Accent4 5 2 2 24" xfId="16010"/>
    <cellStyle name="40% - Accent4 5 2 2 24 2" xfId="38785"/>
    <cellStyle name="40% - Accent4 5 2 2 25" xfId="16666"/>
    <cellStyle name="40% - Accent4 5 2 2 25 2" xfId="39441"/>
    <cellStyle name="40% - Accent4 5 2 2 26" xfId="17322"/>
    <cellStyle name="40% - Accent4 5 2 2 26 2" xfId="40097"/>
    <cellStyle name="40% - Accent4 5 2 2 27" xfId="17978"/>
    <cellStyle name="40% - Accent4 5 2 2 27 2" xfId="40753"/>
    <cellStyle name="40% - Accent4 5 2 2 28" xfId="18634"/>
    <cellStyle name="40% - Accent4 5 2 2 28 2" xfId="41409"/>
    <cellStyle name="40% - Accent4 5 2 2 29" xfId="19290"/>
    <cellStyle name="40% - Accent4 5 2 2 29 2" xfId="42065"/>
    <cellStyle name="40% - Accent4 5 2 2 3" xfId="1250"/>
    <cellStyle name="40% - Accent4 5 2 2 3 2" xfId="2890"/>
    <cellStyle name="40% - Accent4 5 2 2 3 2 2" xfId="25665"/>
    <cellStyle name="40% - Accent4 5 2 2 3 3" xfId="24025"/>
    <cellStyle name="40% - Accent4 5 2 2 30" xfId="19946"/>
    <cellStyle name="40% - Accent4 5 2 2 30 2" xfId="42721"/>
    <cellStyle name="40% - Accent4 5 2 2 31" xfId="20602"/>
    <cellStyle name="40% - Accent4 5 2 2 31 2" xfId="43377"/>
    <cellStyle name="40% - Accent4 5 2 2 32" xfId="21258"/>
    <cellStyle name="40% - Accent4 5 2 2 32 2" xfId="44033"/>
    <cellStyle name="40% - Accent4 5 2 2 33" xfId="21914"/>
    <cellStyle name="40% - Accent4 5 2 2 33 2" xfId="44689"/>
    <cellStyle name="40% - Accent4 5 2 2 34" xfId="22570"/>
    <cellStyle name="40% - Accent4 5 2 2 34 2" xfId="45345"/>
    <cellStyle name="40% - Accent4 5 2 2 35" xfId="23369"/>
    <cellStyle name="40% - Accent4 5 2 2 4" xfId="1906"/>
    <cellStyle name="40% - Accent4 5 2 2 4 2" xfId="3546"/>
    <cellStyle name="40% - Accent4 5 2 2 4 2 2" xfId="26321"/>
    <cellStyle name="40% - Accent4 5 2 2 4 3" xfId="24681"/>
    <cellStyle name="40% - Accent4 5 2 2 5" xfId="4202"/>
    <cellStyle name="40% - Accent4 5 2 2 5 2" xfId="26977"/>
    <cellStyle name="40% - Accent4 5 2 2 6" xfId="4858"/>
    <cellStyle name="40% - Accent4 5 2 2 6 2" xfId="27633"/>
    <cellStyle name="40% - Accent4 5 2 2 7" xfId="5514"/>
    <cellStyle name="40% - Accent4 5 2 2 7 2" xfId="28289"/>
    <cellStyle name="40% - Accent4 5 2 2 8" xfId="6170"/>
    <cellStyle name="40% - Accent4 5 2 2 8 2" xfId="28945"/>
    <cellStyle name="40% - Accent4 5 2 2 9" xfId="2562"/>
    <cellStyle name="40% - Accent4 5 2 2 9 2" xfId="25337"/>
    <cellStyle name="40% - Accent4 5 2 20" xfId="12545"/>
    <cellStyle name="40% - Accent4 5 2 20 2" xfId="35320"/>
    <cellStyle name="40% - Accent4 5 2 21" xfId="13201"/>
    <cellStyle name="40% - Accent4 5 2 21 2" xfId="35976"/>
    <cellStyle name="40% - Accent4 5 2 22" xfId="13857"/>
    <cellStyle name="40% - Accent4 5 2 22 2" xfId="36632"/>
    <cellStyle name="40% - Accent4 5 2 23" xfId="14513"/>
    <cellStyle name="40% - Accent4 5 2 23 2" xfId="37288"/>
    <cellStyle name="40% - Accent4 5 2 24" xfId="15169"/>
    <cellStyle name="40% - Accent4 5 2 24 2" xfId="37944"/>
    <cellStyle name="40% - Accent4 5 2 25" xfId="15825"/>
    <cellStyle name="40% - Accent4 5 2 25 2" xfId="38600"/>
    <cellStyle name="40% - Accent4 5 2 26" xfId="16481"/>
    <cellStyle name="40% - Accent4 5 2 26 2" xfId="39256"/>
    <cellStyle name="40% - Accent4 5 2 27" xfId="17137"/>
    <cellStyle name="40% - Accent4 5 2 27 2" xfId="39912"/>
    <cellStyle name="40% - Accent4 5 2 28" xfId="17793"/>
    <cellStyle name="40% - Accent4 5 2 28 2" xfId="40568"/>
    <cellStyle name="40% - Accent4 5 2 29" xfId="18449"/>
    <cellStyle name="40% - Accent4 5 2 29 2" xfId="41224"/>
    <cellStyle name="40% - Accent4 5 2 3" xfId="737"/>
    <cellStyle name="40% - Accent4 5 2 3 10" xfId="8281"/>
    <cellStyle name="40% - Accent4 5 2 3 10 2" xfId="31056"/>
    <cellStyle name="40% - Accent4 5 2 3 11" xfId="8937"/>
    <cellStyle name="40% - Accent4 5 2 3 11 2" xfId="31712"/>
    <cellStyle name="40% - Accent4 5 2 3 12" xfId="9593"/>
    <cellStyle name="40% - Accent4 5 2 3 12 2" xfId="32368"/>
    <cellStyle name="40% - Accent4 5 2 3 13" xfId="10249"/>
    <cellStyle name="40% - Accent4 5 2 3 13 2" xfId="33024"/>
    <cellStyle name="40% - Accent4 5 2 3 14" xfId="10905"/>
    <cellStyle name="40% - Accent4 5 2 3 14 2" xfId="33680"/>
    <cellStyle name="40% - Accent4 5 2 3 15" xfId="11561"/>
    <cellStyle name="40% - Accent4 5 2 3 15 2" xfId="34336"/>
    <cellStyle name="40% - Accent4 5 2 3 16" xfId="12217"/>
    <cellStyle name="40% - Accent4 5 2 3 16 2" xfId="34992"/>
    <cellStyle name="40% - Accent4 5 2 3 17" xfId="12873"/>
    <cellStyle name="40% - Accent4 5 2 3 17 2" xfId="35648"/>
    <cellStyle name="40% - Accent4 5 2 3 18" xfId="13529"/>
    <cellStyle name="40% - Accent4 5 2 3 18 2" xfId="36304"/>
    <cellStyle name="40% - Accent4 5 2 3 19" xfId="14185"/>
    <cellStyle name="40% - Accent4 5 2 3 19 2" xfId="36960"/>
    <cellStyle name="40% - Accent4 5 2 3 2" xfId="1393"/>
    <cellStyle name="40% - Accent4 5 2 3 2 2" xfId="3689"/>
    <cellStyle name="40% - Accent4 5 2 3 2 2 2" xfId="26464"/>
    <cellStyle name="40% - Accent4 5 2 3 2 3" xfId="24168"/>
    <cellStyle name="40% - Accent4 5 2 3 20" xfId="14841"/>
    <cellStyle name="40% - Accent4 5 2 3 20 2" xfId="37616"/>
    <cellStyle name="40% - Accent4 5 2 3 21" xfId="15497"/>
    <cellStyle name="40% - Accent4 5 2 3 21 2" xfId="38272"/>
    <cellStyle name="40% - Accent4 5 2 3 22" xfId="16153"/>
    <cellStyle name="40% - Accent4 5 2 3 22 2" xfId="38928"/>
    <cellStyle name="40% - Accent4 5 2 3 23" xfId="16809"/>
    <cellStyle name="40% - Accent4 5 2 3 23 2" xfId="39584"/>
    <cellStyle name="40% - Accent4 5 2 3 24" xfId="17465"/>
    <cellStyle name="40% - Accent4 5 2 3 24 2" xfId="40240"/>
    <cellStyle name="40% - Accent4 5 2 3 25" xfId="18121"/>
    <cellStyle name="40% - Accent4 5 2 3 25 2" xfId="40896"/>
    <cellStyle name="40% - Accent4 5 2 3 26" xfId="18777"/>
    <cellStyle name="40% - Accent4 5 2 3 26 2" xfId="41552"/>
    <cellStyle name="40% - Accent4 5 2 3 27" xfId="19433"/>
    <cellStyle name="40% - Accent4 5 2 3 27 2" xfId="42208"/>
    <cellStyle name="40% - Accent4 5 2 3 28" xfId="20089"/>
    <cellStyle name="40% - Accent4 5 2 3 28 2" xfId="42864"/>
    <cellStyle name="40% - Accent4 5 2 3 29" xfId="20745"/>
    <cellStyle name="40% - Accent4 5 2 3 29 2" xfId="43520"/>
    <cellStyle name="40% - Accent4 5 2 3 3" xfId="2049"/>
    <cellStyle name="40% - Accent4 5 2 3 3 2" xfId="4345"/>
    <cellStyle name="40% - Accent4 5 2 3 3 2 2" xfId="27120"/>
    <cellStyle name="40% - Accent4 5 2 3 3 3" xfId="24824"/>
    <cellStyle name="40% - Accent4 5 2 3 30" xfId="21401"/>
    <cellStyle name="40% - Accent4 5 2 3 30 2" xfId="44176"/>
    <cellStyle name="40% - Accent4 5 2 3 31" xfId="22057"/>
    <cellStyle name="40% - Accent4 5 2 3 31 2" xfId="44832"/>
    <cellStyle name="40% - Accent4 5 2 3 32" xfId="22713"/>
    <cellStyle name="40% - Accent4 5 2 3 32 2" xfId="45488"/>
    <cellStyle name="40% - Accent4 5 2 3 33" xfId="23512"/>
    <cellStyle name="40% - Accent4 5 2 3 4" xfId="5001"/>
    <cellStyle name="40% - Accent4 5 2 3 4 2" xfId="27776"/>
    <cellStyle name="40% - Accent4 5 2 3 5" xfId="5657"/>
    <cellStyle name="40% - Accent4 5 2 3 5 2" xfId="28432"/>
    <cellStyle name="40% - Accent4 5 2 3 6" xfId="6313"/>
    <cellStyle name="40% - Accent4 5 2 3 6 2" xfId="29088"/>
    <cellStyle name="40% - Accent4 5 2 3 7" xfId="3033"/>
    <cellStyle name="40% - Accent4 5 2 3 7 2" xfId="25808"/>
    <cellStyle name="40% - Accent4 5 2 3 8" xfId="6969"/>
    <cellStyle name="40% - Accent4 5 2 3 8 2" xfId="29744"/>
    <cellStyle name="40% - Accent4 5 2 3 9" xfId="7625"/>
    <cellStyle name="40% - Accent4 5 2 3 9 2" xfId="30400"/>
    <cellStyle name="40% - Accent4 5 2 30" xfId="19105"/>
    <cellStyle name="40% - Accent4 5 2 30 2" xfId="41880"/>
    <cellStyle name="40% - Accent4 5 2 31" xfId="19761"/>
    <cellStyle name="40% - Accent4 5 2 31 2" xfId="42536"/>
    <cellStyle name="40% - Accent4 5 2 32" xfId="20417"/>
    <cellStyle name="40% - Accent4 5 2 32 2" xfId="43192"/>
    <cellStyle name="40% - Accent4 5 2 33" xfId="21073"/>
    <cellStyle name="40% - Accent4 5 2 33 2" xfId="43848"/>
    <cellStyle name="40% - Accent4 5 2 34" xfId="21729"/>
    <cellStyle name="40% - Accent4 5 2 34 2" xfId="44504"/>
    <cellStyle name="40% - Accent4 5 2 35" xfId="22385"/>
    <cellStyle name="40% - Accent4 5 2 35 2" xfId="45160"/>
    <cellStyle name="40% - Accent4 5 2 36" xfId="23041"/>
    <cellStyle name="40% - Accent4 5 2 4" xfId="410"/>
    <cellStyle name="40% - Accent4 5 2 4 2" xfId="2705"/>
    <cellStyle name="40% - Accent4 5 2 4 2 2" xfId="25480"/>
    <cellStyle name="40% - Accent4 5 2 4 3" xfId="23184"/>
    <cellStyle name="40% - Accent4 5 2 5" xfId="1065"/>
    <cellStyle name="40% - Accent4 5 2 5 2" xfId="3361"/>
    <cellStyle name="40% - Accent4 5 2 5 2 2" xfId="26136"/>
    <cellStyle name="40% - Accent4 5 2 5 3" xfId="23840"/>
    <cellStyle name="40% - Accent4 5 2 6" xfId="1721"/>
    <cellStyle name="40% - Accent4 5 2 6 2" xfId="4017"/>
    <cellStyle name="40% - Accent4 5 2 6 2 2" xfId="26792"/>
    <cellStyle name="40% - Accent4 5 2 6 3" xfId="24496"/>
    <cellStyle name="40% - Accent4 5 2 7" xfId="4673"/>
    <cellStyle name="40% - Accent4 5 2 7 2" xfId="27448"/>
    <cellStyle name="40% - Accent4 5 2 8" xfId="5329"/>
    <cellStyle name="40% - Accent4 5 2 8 2" xfId="28104"/>
    <cellStyle name="40% - Accent4 5 2 9" xfId="5985"/>
    <cellStyle name="40% - Accent4 5 2 9 2" xfId="28760"/>
    <cellStyle name="40% - Accent4 5 20" xfId="11818"/>
    <cellStyle name="40% - Accent4 5 20 2" xfId="34593"/>
    <cellStyle name="40% - Accent4 5 21" xfId="12474"/>
    <cellStyle name="40% - Accent4 5 21 2" xfId="35249"/>
    <cellStyle name="40% - Accent4 5 22" xfId="13130"/>
    <cellStyle name="40% - Accent4 5 22 2" xfId="35905"/>
    <cellStyle name="40% - Accent4 5 23" xfId="13786"/>
    <cellStyle name="40% - Accent4 5 23 2" xfId="36561"/>
    <cellStyle name="40% - Accent4 5 24" xfId="14442"/>
    <cellStyle name="40% - Accent4 5 24 2" xfId="37217"/>
    <cellStyle name="40% - Accent4 5 25" xfId="15098"/>
    <cellStyle name="40% - Accent4 5 25 2" xfId="37873"/>
    <cellStyle name="40% - Accent4 5 26" xfId="15754"/>
    <cellStyle name="40% - Accent4 5 26 2" xfId="38529"/>
    <cellStyle name="40% - Accent4 5 27" xfId="16410"/>
    <cellStyle name="40% - Accent4 5 27 2" xfId="39185"/>
    <cellStyle name="40% - Accent4 5 28" xfId="17066"/>
    <cellStyle name="40% - Accent4 5 28 2" xfId="39841"/>
    <cellStyle name="40% - Accent4 5 29" xfId="17722"/>
    <cellStyle name="40% - Accent4 5 29 2" xfId="40497"/>
    <cellStyle name="40% - Accent4 5 3" xfId="523"/>
    <cellStyle name="40% - Accent4 5 3 10" xfId="6755"/>
    <cellStyle name="40% - Accent4 5 3 10 2" xfId="29530"/>
    <cellStyle name="40% - Accent4 5 3 11" xfId="7411"/>
    <cellStyle name="40% - Accent4 5 3 11 2" xfId="30186"/>
    <cellStyle name="40% - Accent4 5 3 12" xfId="8067"/>
    <cellStyle name="40% - Accent4 5 3 12 2" xfId="30842"/>
    <cellStyle name="40% - Accent4 5 3 13" xfId="8723"/>
    <cellStyle name="40% - Accent4 5 3 13 2" xfId="31498"/>
    <cellStyle name="40% - Accent4 5 3 14" xfId="9379"/>
    <cellStyle name="40% - Accent4 5 3 14 2" xfId="32154"/>
    <cellStyle name="40% - Accent4 5 3 15" xfId="10035"/>
    <cellStyle name="40% - Accent4 5 3 15 2" xfId="32810"/>
    <cellStyle name="40% - Accent4 5 3 16" xfId="10691"/>
    <cellStyle name="40% - Accent4 5 3 16 2" xfId="33466"/>
    <cellStyle name="40% - Accent4 5 3 17" xfId="11347"/>
    <cellStyle name="40% - Accent4 5 3 17 2" xfId="34122"/>
    <cellStyle name="40% - Accent4 5 3 18" xfId="12003"/>
    <cellStyle name="40% - Accent4 5 3 18 2" xfId="34778"/>
    <cellStyle name="40% - Accent4 5 3 19" xfId="12659"/>
    <cellStyle name="40% - Accent4 5 3 19 2" xfId="35434"/>
    <cellStyle name="40% - Accent4 5 3 2" xfId="851"/>
    <cellStyle name="40% - Accent4 5 3 2 10" xfId="8395"/>
    <cellStyle name="40% - Accent4 5 3 2 10 2" xfId="31170"/>
    <cellStyle name="40% - Accent4 5 3 2 11" xfId="9051"/>
    <cellStyle name="40% - Accent4 5 3 2 11 2" xfId="31826"/>
    <cellStyle name="40% - Accent4 5 3 2 12" xfId="9707"/>
    <cellStyle name="40% - Accent4 5 3 2 12 2" xfId="32482"/>
    <cellStyle name="40% - Accent4 5 3 2 13" xfId="10363"/>
    <cellStyle name="40% - Accent4 5 3 2 13 2" xfId="33138"/>
    <cellStyle name="40% - Accent4 5 3 2 14" xfId="11019"/>
    <cellStyle name="40% - Accent4 5 3 2 14 2" xfId="33794"/>
    <cellStyle name="40% - Accent4 5 3 2 15" xfId="11675"/>
    <cellStyle name="40% - Accent4 5 3 2 15 2" xfId="34450"/>
    <cellStyle name="40% - Accent4 5 3 2 16" xfId="12331"/>
    <cellStyle name="40% - Accent4 5 3 2 16 2" xfId="35106"/>
    <cellStyle name="40% - Accent4 5 3 2 17" xfId="12987"/>
    <cellStyle name="40% - Accent4 5 3 2 17 2" xfId="35762"/>
    <cellStyle name="40% - Accent4 5 3 2 18" xfId="13643"/>
    <cellStyle name="40% - Accent4 5 3 2 18 2" xfId="36418"/>
    <cellStyle name="40% - Accent4 5 3 2 19" xfId="14299"/>
    <cellStyle name="40% - Accent4 5 3 2 19 2" xfId="37074"/>
    <cellStyle name="40% - Accent4 5 3 2 2" xfId="1507"/>
    <cellStyle name="40% - Accent4 5 3 2 2 2" xfId="3803"/>
    <cellStyle name="40% - Accent4 5 3 2 2 2 2" xfId="26578"/>
    <cellStyle name="40% - Accent4 5 3 2 2 3" xfId="24282"/>
    <cellStyle name="40% - Accent4 5 3 2 20" xfId="14955"/>
    <cellStyle name="40% - Accent4 5 3 2 20 2" xfId="37730"/>
    <cellStyle name="40% - Accent4 5 3 2 21" xfId="15611"/>
    <cellStyle name="40% - Accent4 5 3 2 21 2" xfId="38386"/>
    <cellStyle name="40% - Accent4 5 3 2 22" xfId="16267"/>
    <cellStyle name="40% - Accent4 5 3 2 22 2" xfId="39042"/>
    <cellStyle name="40% - Accent4 5 3 2 23" xfId="16923"/>
    <cellStyle name="40% - Accent4 5 3 2 23 2" xfId="39698"/>
    <cellStyle name="40% - Accent4 5 3 2 24" xfId="17579"/>
    <cellStyle name="40% - Accent4 5 3 2 24 2" xfId="40354"/>
    <cellStyle name="40% - Accent4 5 3 2 25" xfId="18235"/>
    <cellStyle name="40% - Accent4 5 3 2 25 2" xfId="41010"/>
    <cellStyle name="40% - Accent4 5 3 2 26" xfId="18891"/>
    <cellStyle name="40% - Accent4 5 3 2 26 2" xfId="41666"/>
    <cellStyle name="40% - Accent4 5 3 2 27" xfId="19547"/>
    <cellStyle name="40% - Accent4 5 3 2 27 2" xfId="42322"/>
    <cellStyle name="40% - Accent4 5 3 2 28" xfId="20203"/>
    <cellStyle name="40% - Accent4 5 3 2 28 2" xfId="42978"/>
    <cellStyle name="40% - Accent4 5 3 2 29" xfId="20859"/>
    <cellStyle name="40% - Accent4 5 3 2 29 2" xfId="43634"/>
    <cellStyle name="40% - Accent4 5 3 2 3" xfId="2163"/>
    <cellStyle name="40% - Accent4 5 3 2 3 2" xfId="4459"/>
    <cellStyle name="40% - Accent4 5 3 2 3 2 2" xfId="27234"/>
    <cellStyle name="40% - Accent4 5 3 2 3 3" xfId="24938"/>
    <cellStyle name="40% - Accent4 5 3 2 30" xfId="21515"/>
    <cellStyle name="40% - Accent4 5 3 2 30 2" xfId="44290"/>
    <cellStyle name="40% - Accent4 5 3 2 31" xfId="22171"/>
    <cellStyle name="40% - Accent4 5 3 2 31 2" xfId="44946"/>
    <cellStyle name="40% - Accent4 5 3 2 32" xfId="22827"/>
    <cellStyle name="40% - Accent4 5 3 2 32 2" xfId="45602"/>
    <cellStyle name="40% - Accent4 5 3 2 33" xfId="23626"/>
    <cellStyle name="40% - Accent4 5 3 2 4" xfId="5115"/>
    <cellStyle name="40% - Accent4 5 3 2 4 2" xfId="27890"/>
    <cellStyle name="40% - Accent4 5 3 2 5" xfId="5771"/>
    <cellStyle name="40% - Accent4 5 3 2 5 2" xfId="28546"/>
    <cellStyle name="40% - Accent4 5 3 2 6" xfId="6427"/>
    <cellStyle name="40% - Accent4 5 3 2 6 2" xfId="29202"/>
    <cellStyle name="40% - Accent4 5 3 2 7" xfId="3147"/>
    <cellStyle name="40% - Accent4 5 3 2 7 2" xfId="25922"/>
    <cellStyle name="40% - Accent4 5 3 2 8" xfId="7083"/>
    <cellStyle name="40% - Accent4 5 3 2 8 2" xfId="29858"/>
    <cellStyle name="40% - Accent4 5 3 2 9" xfId="7739"/>
    <cellStyle name="40% - Accent4 5 3 2 9 2" xfId="30514"/>
    <cellStyle name="40% - Accent4 5 3 20" xfId="13315"/>
    <cellStyle name="40% - Accent4 5 3 20 2" xfId="36090"/>
    <cellStyle name="40% - Accent4 5 3 21" xfId="13971"/>
    <cellStyle name="40% - Accent4 5 3 21 2" xfId="36746"/>
    <cellStyle name="40% - Accent4 5 3 22" xfId="14627"/>
    <cellStyle name="40% - Accent4 5 3 22 2" xfId="37402"/>
    <cellStyle name="40% - Accent4 5 3 23" xfId="15283"/>
    <cellStyle name="40% - Accent4 5 3 23 2" xfId="38058"/>
    <cellStyle name="40% - Accent4 5 3 24" xfId="15939"/>
    <cellStyle name="40% - Accent4 5 3 24 2" xfId="38714"/>
    <cellStyle name="40% - Accent4 5 3 25" xfId="16595"/>
    <cellStyle name="40% - Accent4 5 3 25 2" xfId="39370"/>
    <cellStyle name="40% - Accent4 5 3 26" xfId="17251"/>
    <cellStyle name="40% - Accent4 5 3 26 2" xfId="40026"/>
    <cellStyle name="40% - Accent4 5 3 27" xfId="17907"/>
    <cellStyle name="40% - Accent4 5 3 27 2" xfId="40682"/>
    <cellStyle name="40% - Accent4 5 3 28" xfId="18563"/>
    <cellStyle name="40% - Accent4 5 3 28 2" xfId="41338"/>
    <cellStyle name="40% - Accent4 5 3 29" xfId="19219"/>
    <cellStyle name="40% - Accent4 5 3 29 2" xfId="41994"/>
    <cellStyle name="40% - Accent4 5 3 3" xfId="1179"/>
    <cellStyle name="40% - Accent4 5 3 3 2" xfId="2819"/>
    <cellStyle name="40% - Accent4 5 3 3 2 2" xfId="25594"/>
    <cellStyle name="40% - Accent4 5 3 3 3" xfId="23954"/>
    <cellStyle name="40% - Accent4 5 3 30" xfId="19875"/>
    <cellStyle name="40% - Accent4 5 3 30 2" xfId="42650"/>
    <cellStyle name="40% - Accent4 5 3 31" xfId="20531"/>
    <cellStyle name="40% - Accent4 5 3 31 2" xfId="43306"/>
    <cellStyle name="40% - Accent4 5 3 32" xfId="21187"/>
    <cellStyle name="40% - Accent4 5 3 32 2" xfId="43962"/>
    <cellStyle name="40% - Accent4 5 3 33" xfId="21843"/>
    <cellStyle name="40% - Accent4 5 3 33 2" xfId="44618"/>
    <cellStyle name="40% - Accent4 5 3 34" xfId="22499"/>
    <cellStyle name="40% - Accent4 5 3 34 2" xfId="45274"/>
    <cellStyle name="40% - Accent4 5 3 35" xfId="23298"/>
    <cellStyle name="40% - Accent4 5 3 4" xfId="1835"/>
    <cellStyle name="40% - Accent4 5 3 4 2" xfId="3475"/>
    <cellStyle name="40% - Accent4 5 3 4 2 2" xfId="26250"/>
    <cellStyle name="40% - Accent4 5 3 4 3" xfId="24610"/>
    <cellStyle name="40% - Accent4 5 3 5" xfId="4131"/>
    <cellStyle name="40% - Accent4 5 3 5 2" xfId="26906"/>
    <cellStyle name="40% - Accent4 5 3 6" xfId="4787"/>
    <cellStyle name="40% - Accent4 5 3 6 2" xfId="27562"/>
    <cellStyle name="40% - Accent4 5 3 7" xfId="5443"/>
    <cellStyle name="40% - Accent4 5 3 7 2" xfId="28218"/>
    <cellStyle name="40% - Accent4 5 3 8" xfId="6099"/>
    <cellStyle name="40% - Accent4 5 3 8 2" xfId="28874"/>
    <cellStyle name="40% - Accent4 5 3 9" xfId="2491"/>
    <cellStyle name="40% - Accent4 5 3 9 2" xfId="25266"/>
    <cellStyle name="40% - Accent4 5 30" xfId="18378"/>
    <cellStyle name="40% - Accent4 5 30 2" xfId="41153"/>
    <cellStyle name="40% - Accent4 5 31" xfId="19034"/>
    <cellStyle name="40% - Accent4 5 31 2" xfId="41809"/>
    <cellStyle name="40% - Accent4 5 32" xfId="19690"/>
    <cellStyle name="40% - Accent4 5 32 2" xfId="42465"/>
    <cellStyle name="40% - Accent4 5 33" xfId="20346"/>
    <cellStyle name="40% - Accent4 5 33 2" xfId="43121"/>
    <cellStyle name="40% - Accent4 5 34" xfId="21002"/>
    <cellStyle name="40% - Accent4 5 34 2" xfId="43777"/>
    <cellStyle name="40% - Accent4 5 35" xfId="21658"/>
    <cellStyle name="40% - Accent4 5 35 2" xfId="44433"/>
    <cellStyle name="40% - Accent4 5 36" xfId="22314"/>
    <cellStyle name="40% - Accent4 5 36 2" xfId="45089"/>
    <cellStyle name="40% - Accent4 5 37" xfId="253"/>
    <cellStyle name="40% - Accent4 5 38" xfId="22970"/>
    <cellStyle name="40% - Accent4 5 4" xfId="666"/>
    <cellStyle name="40% - Accent4 5 4 10" xfId="8210"/>
    <cellStyle name="40% - Accent4 5 4 10 2" xfId="30985"/>
    <cellStyle name="40% - Accent4 5 4 11" xfId="8866"/>
    <cellStyle name="40% - Accent4 5 4 11 2" xfId="31641"/>
    <cellStyle name="40% - Accent4 5 4 12" xfId="9522"/>
    <cellStyle name="40% - Accent4 5 4 12 2" xfId="32297"/>
    <cellStyle name="40% - Accent4 5 4 13" xfId="10178"/>
    <cellStyle name="40% - Accent4 5 4 13 2" xfId="32953"/>
    <cellStyle name="40% - Accent4 5 4 14" xfId="10834"/>
    <cellStyle name="40% - Accent4 5 4 14 2" xfId="33609"/>
    <cellStyle name="40% - Accent4 5 4 15" xfId="11490"/>
    <cellStyle name="40% - Accent4 5 4 15 2" xfId="34265"/>
    <cellStyle name="40% - Accent4 5 4 16" xfId="12146"/>
    <cellStyle name="40% - Accent4 5 4 16 2" xfId="34921"/>
    <cellStyle name="40% - Accent4 5 4 17" xfId="12802"/>
    <cellStyle name="40% - Accent4 5 4 17 2" xfId="35577"/>
    <cellStyle name="40% - Accent4 5 4 18" xfId="13458"/>
    <cellStyle name="40% - Accent4 5 4 18 2" xfId="36233"/>
    <cellStyle name="40% - Accent4 5 4 19" xfId="14114"/>
    <cellStyle name="40% - Accent4 5 4 19 2" xfId="36889"/>
    <cellStyle name="40% - Accent4 5 4 2" xfId="1322"/>
    <cellStyle name="40% - Accent4 5 4 2 2" xfId="3618"/>
    <cellStyle name="40% - Accent4 5 4 2 2 2" xfId="26393"/>
    <cellStyle name="40% - Accent4 5 4 2 3" xfId="24097"/>
    <cellStyle name="40% - Accent4 5 4 20" xfId="14770"/>
    <cellStyle name="40% - Accent4 5 4 20 2" xfId="37545"/>
    <cellStyle name="40% - Accent4 5 4 21" xfId="15426"/>
    <cellStyle name="40% - Accent4 5 4 21 2" xfId="38201"/>
    <cellStyle name="40% - Accent4 5 4 22" xfId="16082"/>
    <cellStyle name="40% - Accent4 5 4 22 2" xfId="38857"/>
    <cellStyle name="40% - Accent4 5 4 23" xfId="16738"/>
    <cellStyle name="40% - Accent4 5 4 23 2" xfId="39513"/>
    <cellStyle name="40% - Accent4 5 4 24" xfId="17394"/>
    <cellStyle name="40% - Accent4 5 4 24 2" xfId="40169"/>
    <cellStyle name="40% - Accent4 5 4 25" xfId="18050"/>
    <cellStyle name="40% - Accent4 5 4 25 2" xfId="40825"/>
    <cellStyle name="40% - Accent4 5 4 26" xfId="18706"/>
    <cellStyle name="40% - Accent4 5 4 26 2" xfId="41481"/>
    <cellStyle name="40% - Accent4 5 4 27" xfId="19362"/>
    <cellStyle name="40% - Accent4 5 4 27 2" xfId="42137"/>
    <cellStyle name="40% - Accent4 5 4 28" xfId="20018"/>
    <cellStyle name="40% - Accent4 5 4 28 2" xfId="42793"/>
    <cellStyle name="40% - Accent4 5 4 29" xfId="20674"/>
    <cellStyle name="40% - Accent4 5 4 29 2" xfId="43449"/>
    <cellStyle name="40% - Accent4 5 4 3" xfId="1978"/>
    <cellStyle name="40% - Accent4 5 4 3 2" xfId="4274"/>
    <cellStyle name="40% - Accent4 5 4 3 2 2" xfId="27049"/>
    <cellStyle name="40% - Accent4 5 4 3 3" xfId="24753"/>
    <cellStyle name="40% - Accent4 5 4 30" xfId="21330"/>
    <cellStyle name="40% - Accent4 5 4 30 2" xfId="44105"/>
    <cellStyle name="40% - Accent4 5 4 31" xfId="21986"/>
    <cellStyle name="40% - Accent4 5 4 31 2" xfId="44761"/>
    <cellStyle name="40% - Accent4 5 4 32" xfId="22642"/>
    <cellStyle name="40% - Accent4 5 4 32 2" xfId="45417"/>
    <cellStyle name="40% - Accent4 5 4 33" xfId="23441"/>
    <cellStyle name="40% - Accent4 5 4 4" xfId="4930"/>
    <cellStyle name="40% - Accent4 5 4 4 2" xfId="27705"/>
    <cellStyle name="40% - Accent4 5 4 5" xfId="5586"/>
    <cellStyle name="40% - Accent4 5 4 5 2" xfId="28361"/>
    <cellStyle name="40% - Accent4 5 4 6" xfId="6242"/>
    <cellStyle name="40% - Accent4 5 4 6 2" xfId="29017"/>
    <cellStyle name="40% - Accent4 5 4 7" xfId="2962"/>
    <cellStyle name="40% - Accent4 5 4 7 2" xfId="25737"/>
    <cellStyle name="40% - Accent4 5 4 8" xfId="6898"/>
    <cellStyle name="40% - Accent4 5 4 8 2" xfId="29673"/>
    <cellStyle name="40% - Accent4 5 4 9" xfId="7554"/>
    <cellStyle name="40% - Accent4 5 4 9 2" xfId="30329"/>
    <cellStyle name="40% - Accent4 5 5" xfId="339"/>
    <cellStyle name="40% - Accent4 5 5 2" xfId="2634"/>
    <cellStyle name="40% - Accent4 5 5 2 2" xfId="25409"/>
    <cellStyle name="40% - Accent4 5 5 3" xfId="23113"/>
    <cellStyle name="40% - Accent4 5 6" xfId="994"/>
    <cellStyle name="40% - Accent4 5 6 2" xfId="3290"/>
    <cellStyle name="40% - Accent4 5 6 2 2" xfId="26065"/>
    <cellStyle name="40% - Accent4 5 6 3" xfId="23769"/>
    <cellStyle name="40% - Accent4 5 7" xfId="1650"/>
    <cellStyle name="40% - Accent4 5 7 2" xfId="3946"/>
    <cellStyle name="40% - Accent4 5 7 2 2" xfId="26721"/>
    <cellStyle name="40% - Accent4 5 7 3" xfId="24425"/>
    <cellStyle name="40% - Accent4 5 8" xfId="4602"/>
    <cellStyle name="40% - Accent4 5 8 2" xfId="27377"/>
    <cellStyle name="40% - Accent4 5 9" xfId="5258"/>
    <cellStyle name="40% - Accent4 5 9 2" xfId="28033"/>
    <cellStyle name="40% - Accent4 6" xfId="121"/>
    <cellStyle name="40% - Accent4 6 10" xfId="2319"/>
    <cellStyle name="40% - Accent4 6 10 2" xfId="25094"/>
    <cellStyle name="40% - Accent4 6 11" xfId="6583"/>
    <cellStyle name="40% - Accent4 6 11 2" xfId="29358"/>
    <cellStyle name="40% - Accent4 6 12" xfId="7239"/>
    <cellStyle name="40% - Accent4 6 12 2" xfId="30014"/>
    <cellStyle name="40% - Accent4 6 13" xfId="7895"/>
    <cellStyle name="40% - Accent4 6 13 2" xfId="30670"/>
    <cellStyle name="40% - Accent4 6 14" xfId="8551"/>
    <cellStyle name="40% - Accent4 6 14 2" xfId="31326"/>
    <cellStyle name="40% - Accent4 6 15" xfId="9207"/>
    <cellStyle name="40% - Accent4 6 15 2" xfId="31982"/>
    <cellStyle name="40% - Accent4 6 16" xfId="9863"/>
    <cellStyle name="40% - Accent4 6 16 2" xfId="32638"/>
    <cellStyle name="40% - Accent4 6 17" xfId="10519"/>
    <cellStyle name="40% - Accent4 6 17 2" xfId="33294"/>
    <cellStyle name="40% - Accent4 6 18" xfId="11175"/>
    <cellStyle name="40% - Accent4 6 18 2" xfId="33950"/>
    <cellStyle name="40% - Accent4 6 19" xfId="11831"/>
    <cellStyle name="40% - Accent4 6 19 2" xfId="34606"/>
    <cellStyle name="40% - Accent4 6 2" xfId="535"/>
    <cellStyle name="40% - Accent4 6 2 10" xfId="6768"/>
    <cellStyle name="40% - Accent4 6 2 10 2" xfId="29543"/>
    <cellStyle name="40% - Accent4 6 2 11" xfId="7424"/>
    <cellStyle name="40% - Accent4 6 2 11 2" xfId="30199"/>
    <cellStyle name="40% - Accent4 6 2 12" xfId="8080"/>
    <cellStyle name="40% - Accent4 6 2 12 2" xfId="30855"/>
    <cellStyle name="40% - Accent4 6 2 13" xfId="8736"/>
    <cellStyle name="40% - Accent4 6 2 13 2" xfId="31511"/>
    <cellStyle name="40% - Accent4 6 2 14" xfId="9392"/>
    <cellStyle name="40% - Accent4 6 2 14 2" xfId="32167"/>
    <cellStyle name="40% - Accent4 6 2 15" xfId="10048"/>
    <cellStyle name="40% - Accent4 6 2 15 2" xfId="32823"/>
    <cellStyle name="40% - Accent4 6 2 16" xfId="10704"/>
    <cellStyle name="40% - Accent4 6 2 16 2" xfId="33479"/>
    <cellStyle name="40% - Accent4 6 2 17" xfId="11360"/>
    <cellStyle name="40% - Accent4 6 2 17 2" xfId="34135"/>
    <cellStyle name="40% - Accent4 6 2 18" xfId="12016"/>
    <cellStyle name="40% - Accent4 6 2 18 2" xfId="34791"/>
    <cellStyle name="40% - Accent4 6 2 19" xfId="12672"/>
    <cellStyle name="40% - Accent4 6 2 19 2" xfId="35447"/>
    <cellStyle name="40% - Accent4 6 2 2" xfId="864"/>
    <cellStyle name="40% - Accent4 6 2 2 10" xfId="8408"/>
    <cellStyle name="40% - Accent4 6 2 2 10 2" xfId="31183"/>
    <cellStyle name="40% - Accent4 6 2 2 11" xfId="9064"/>
    <cellStyle name="40% - Accent4 6 2 2 11 2" xfId="31839"/>
    <cellStyle name="40% - Accent4 6 2 2 12" xfId="9720"/>
    <cellStyle name="40% - Accent4 6 2 2 12 2" xfId="32495"/>
    <cellStyle name="40% - Accent4 6 2 2 13" xfId="10376"/>
    <cellStyle name="40% - Accent4 6 2 2 13 2" xfId="33151"/>
    <cellStyle name="40% - Accent4 6 2 2 14" xfId="11032"/>
    <cellStyle name="40% - Accent4 6 2 2 14 2" xfId="33807"/>
    <cellStyle name="40% - Accent4 6 2 2 15" xfId="11688"/>
    <cellStyle name="40% - Accent4 6 2 2 15 2" xfId="34463"/>
    <cellStyle name="40% - Accent4 6 2 2 16" xfId="12344"/>
    <cellStyle name="40% - Accent4 6 2 2 16 2" xfId="35119"/>
    <cellStyle name="40% - Accent4 6 2 2 17" xfId="13000"/>
    <cellStyle name="40% - Accent4 6 2 2 17 2" xfId="35775"/>
    <cellStyle name="40% - Accent4 6 2 2 18" xfId="13656"/>
    <cellStyle name="40% - Accent4 6 2 2 18 2" xfId="36431"/>
    <cellStyle name="40% - Accent4 6 2 2 19" xfId="14312"/>
    <cellStyle name="40% - Accent4 6 2 2 19 2" xfId="37087"/>
    <cellStyle name="40% - Accent4 6 2 2 2" xfId="1520"/>
    <cellStyle name="40% - Accent4 6 2 2 2 2" xfId="3816"/>
    <cellStyle name="40% - Accent4 6 2 2 2 2 2" xfId="26591"/>
    <cellStyle name="40% - Accent4 6 2 2 2 3" xfId="24295"/>
    <cellStyle name="40% - Accent4 6 2 2 20" xfId="14968"/>
    <cellStyle name="40% - Accent4 6 2 2 20 2" xfId="37743"/>
    <cellStyle name="40% - Accent4 6 2 2 21" xfId="15624"/>
    <cellStyle name="40% - Accent4 6 2 2 21 2" xfId="38399"/>
    <cellStyle name="40% - Accent4 6 2 2 22" xfId="16280"/>
    <cellStyle name="40% - Accent4 6 2 2 22 2" xfId="39055"/>
    <cellStyle name="40% - Accent4 6 2 2 23" xfId="16936"/>
    <cellStyle name="40% - Accent4 6 2 2 23 2" xfId="39711"/>
    <cellStyle name="40% - Accent4 6 2 2 24" xfId="17592"/>
    <cellStyle name="40% - Accent4 6 2 2 24 2" xfId="40367"/>
    <cellStyle name="40% - Accent4 6 2 2 25" xfId="18248"/>
    <cellStyle name="40% - Accent4 6 2 2 25 2" xfId="41023"/>
    <cellStyle name="40% - Accent4 6 2 2 26" xfId="18904"/>
    <cellStyle name="40% - Accent4 6 2 2 26 2" xfId="41679"/>
    <cellStyle name="40% - Accent4 6 2 2 27" xfId="19560"/>
    <cellStyle name="40% - Accent4 6 2 2 27 2" xfId="42335"/>
    <cellStyle name="40% - Accent4 6 2 2 28" xfId="20216"/>
    <cellStyle name="40% - Accent4 6 2 2 28 2" xfId="42991"/>
    <cellStyle name="40% - Accent4 6 2 2 29" xfId="20872"/>
    <cellStyle name="40% - Accent4 6 2 2 29 2" xfId="43647"/>
    <cellStyle name="40% - Accent4 6 2 2 3" xfId="2176"/>
    <cellStyle name="40% - Accent4 6 2 2 3 2" xfId="4472"/>
    <cellStyle name="40% - Accent4 6 2 2 3 2 2" xfId="27247"/>
    <cellStyle name="40% - Accent4 6 2 2 3 3" xfId="24951"/>
    <cellStyle name="40% - Accent4 6 2 2 30" xfId="21528"/>
    <cellStyle name="40% - Accent4 6 2 2 30 2" xfId="44303"/>
    <cellStyle name="40% - Accent4 6 2 2 31" xfId="22184"/>
    <cellStyle name="40% - Accent4 6 2 2 31 2" xfId="44959"/>
    <cellStyle name="40% - Accent4 6 2 2 32" xfId="22840"/>
    <cellStyle name="40% - Accent4 6 2 2 32 2" xfId="45615"/>
    <cellStyle name="40% - Accent4 6 2 2 33" xfId="23639"/>
    <cellStyle name="40% - Accent4 6 2 2 4" xfId="5128"/>
    <cellStyle name="40% - Accent4 6 2 2 4 2" xfId="27903"/>
    <cellStyle name="40% - Accent4 6 2 2 5" xfId="5784"/>
    <cellStyle name="40% - Accent4 6 2 2 5 2" xfId="28559"/>
    <cellStyle name="40% - Accent4 6 2 2 6" xfId="6440"/>
    <cellStyle name="40% - Accent4 6 2 2 6 2" xfId="29215"/>
    <cellStyle name="40% - Accent4 6 2 2 7" xfId="3160"/>
    <cellStyle name="40% - Accent4 6 2 2 7 2" xfId="25935"/>
    <cellStyle name="40% - Accent4 6 2 2 8" xfId="7096"/>
    <cellStyle name="40% - Accent4 6 2 2 8 2" xfId="29871"/>
    <cellStyle name="40% - Accent4 6 2 2 9" xfId="7752"/>
    <cellStyle name="40% - Accent4 6 2 2 9 2" xfId="30527"/>
    <cellStyle name="40% - Accent4 6 2 20" xfId="13328"/>
    <cellStyle name="40% - Accent4 6 2 20 2" xfId="36103"/>
    <cellStyle name="40% - Accent4 6 2 21" xfId="13984"/>
    <cellStyle name="40% - Accent4 6 2 21 2" xfId="36759"/>
    <cellStyle name="40% - Accent4 6 2 22" xfId="14640"/>
    <cellStyle name="40% - Accent4 6 2 22 2" xfId="37415"/>
    <cellStyle name="40% - Accent4 6 2 23" xfId="15296"/>
    <cellStyle name="40% - Accent4 6 2 23 2" xfId="38071"/>
    <cellStyle name="40% - Accent4 6 2 24" xfId="15952"/>
    <cellStyle name="40% - Accent4 6 2 24 2" xfId="38727"/>
    <cellStyle name="40% - Accent4 6 2 25" xfId="16608"/>
    <cellStyle name="40% - Accent4 6 2 25 2" xfId="39383"/>
    <cellStyle name="40% - Accent4 6 2 26" xfId="17264"/>
    <cellStyle name="40% - Accent4 6 2 26 2" xfId="40039"/>
    <cellStyle name="40% - Accent4 6 2 27" xfId="17920"/>
    <cellStyle name="40% - Accent4 6 2 27 2" xfId="40695"/>
    <cellStyle name="40% - Accent4 6 2 28" xfId="18576"/>
    <cellStyle name="40% - Accent4 6 2 28 2" xfId="41351"/>
    <cellStyle name="40% - Accent4 6 2 29" xfId="19232"/>
    <cellStyle name="40% - Accent4 6 2 29 2" xfId="42007"/>
    <cellStyle name="40% - Accent4 6 2 3" xfId="1192"/>
    <cellStyle name="40% - Accent4 6 2 3 2" xfId="2832"/>
    <cellStyle name="40% - Accent4 6 2 3 2 2" xfId="25607"/>
    <cellStyle name="40% - Accent4 6 2 3 3" xfId="23967"/>
    <cellStyle name="40% - Accent4 6 2 30" xfId="19888"/>
    <cellStyle name="40% - Accent4 6 2 30 2" xfId="42663"/>
    <cellStyle name="40% - Accent4 6 2 31" xfId="20544"/>
    <cellStyle name="40% - Accent4 6 2 31 2" xfId="43319"/>
    <cellStyle name="40% - Accent4 6 2 32" xfId="21200"/>
    <cellStyle name="40% - Accent4 6 2 32 2" xfId="43975"/>
    <cellStyle name="40% - Accent4 6 2 33" xfId="21856"/>
    <cellStyle name="40% - Accent4 6 2 33 2" xfId="44631"/>
    <cellStyle name="40% - Accent4 6 2 34" xfId="22512"/>
    <cellStyle name="40% - Accent4 6 2 34 2" xfId="45287"/>
    <cellStyle name="40% - Accent4 6 2 35" xfId="23311"/>
    <cellStyle name="40% - Accent4 6 2 4" xfId="1848"/>
    <cellStyle name="40% - Accent4 6 2 4 2" xfId="3488"/>
    <cellStyle name="40% - Accent4 6 2 4 2 2" xfId="26263"/>
    <cellStyle name="40% - Accent4 6 2 4 3" xfId="24623"/>
    <cellStyle name="40% - Accent4 6 2 5" xfId="4144"/>
    <cellStyle name="40% - Accent4 6 2 5 2" xfId="26919"/>
    <cellStyle name="40% - Accent4 6 2 6" xfId="4800"/>
    <cellStyle name="40% - Accent4 6 2 6 2" xfId="27575"/>
    <cellStyle name="40% - Accent4 6 2 7" xfId="5456"/>
    <cellStyle name="40% - Accent4 6 2 7 2" xfId="28231"/>
    <cellStyle name="40% - Accent4 6 2 8" xfId="6112"/>
    <cellStyle name="40% - Accent4 6 2 8 2" xfId="28887"/>
    <cellStyle name="40% - Accent4 6 2 9" xfId="2504"/>
    <cellStyle name="40% - Accent4 6 2 9 2" xfId="25279"/>
    <cellStyle name="40% - Accent4 6 20" xfId="12487"/>
    <cellStyle name="40% - Accent4 6 20 2" xfId="35262"/>
    <cellStyle name="40% - Accent4 6 21" xfId="13143"/>
    <cellStyle name="40% - Accent4 6 21 2" xfId="35918"/>
    <cellStyle name="40% - Accent4 6 22" xfId="13799"/>
    <cellStyle name="40% - Accent4 6 22 2" xfId="36574"/>
    <cellStyle name="40% - Accent4 6 23" xfId="14455"/>
    <cellStyle name="40% - Accent4 6 23 2" xfId="37230"/>
    <cellStyle name="40% - Accent4 6 24" xfId="15111"/>
    <cellStyle name="40% - Accent4 6 24 2" xfId="37886"/>
    <cellStyle name="40% - Accent4 6 25" xfId="15767"/>
    <cellStyle name="40% - Accent4 6 25 2" xfId="38542"/>
    <cellStyle name="40% - Accent4 6 26" xfId="16423"/>
    <cellStyle name="40% - Accent4 6 26 2" xfId="39198"/>
    <cellStyle name="40% - Accent4 6 27" xfId="17079"/>
    <cellStyle name="40% - Accent4 6 27 2" xfId="39854"/>
    <cellStyle name="40% - Accent4 6 28" xfId="17735"/>
    <cellStyle name="40% - Accent4 6 28 2" xfId="40510"/>
    <cellStyle name="40% - Accent4 6 29" xfId="18391"/>
    <cellStyle name="40% - Accent4 6 29 2" xfId="41166"/>
    <cellStyle name="40% - Accent4 6 3" xfId="679"/>
    <cellStyle name="40% - Accent4 6 3 10" xfId="8223"/>
    <cellStyle name="40% - Accent4 6 3 10 2" xfId="30998"/>
    <cellStyle name="40% - Accent4 6 3 11" xfId="8879"/>
    <cellStyle name="40% - Accent4 6 3 11 2" xfId="31654"/>
    <cellStyle name="40% - Accent4 6 3 12" xfId="9535"/>
    <cellStyle name="40% - Accent4 6 3 12 2" xfId="32310"/>
    <cellStyle name="40% - Accent4 6 3 13" xfId="10191"/>
    <cellStyle name="40% - Accent4 6 3 13 2" xfId="32966"/>
    <cellStyle name="40% - Accent4 6 3 14" xfId="10847"/>
    <cellStyle name="40% - Accent4 6 3 14 2" xfId="33622"/>
    <cellStyle name="40% - Accent4 6 3 15" xfId="11503"/>
    <cellStyle name="40% - Accent4 6 3 15 2" xfId="34278"/>
    <cellStyle name="40% - Accent4 6 3 16" xfId="12159"/>
    <cellStyle name="40% - Accent4 6 3 16 2" xfId="34934"/>
    <cellStyle name="40% - Accent4 6 3 17" xfId="12815"/>
    <cellStyle name="40% - Accent4 6 3 17 2" xfId="35590"/>
    <cellStyle name="40% - Accent4 6 3 18" xfId="13471"/>
    <cellStyle name="40% - Accent4 6 3 18 2" xfId="36246"/>
    <cellStyle name="40% - Accent4 6 3 19" xfId="14127"/>
    <cellStyle name="40% - Accent4 6 3 19 2" xfId="36902"/>
    <cellStyle name="40% - Accent4 6 3 2" xfId="1335"/>
    <cellStyle name="40% - Accent4 6 3 2 2" xfId="3631"/>
    <cellStyle name="40% - Accent4 6 3 2 2 2" xfId="26406"/>
    <cellStyle name="40% - Accent4 6 3 2 3" xfId="24110"/>
    <cellStyle name="40% - Accent4 6 3 20" xfId="14783"/>
    <cellStyle name="40% - Accent4 6 3 20 2" xfId="37558"/>
    <cellStyle name="40% - Accent4 6 3 21" xfId="15439"/>
    <cellStyle name="40% - Accent4 6 3 21 2" xfId="38214"/>
    <cellStyle name="40% - Accent4 6 3 22" xfId="16095"/>
    <cellStyle name="40% - Accent4 6 3 22 2" xfId="38870"/>
    <cellStyle name="40% - Accent4 6 3 23" xfId="16751"/>
    <cellStyle name="40% - Accent4 6 3 23 2" xfId="39526"/>
    <cellStyle name="40% - Accent4 6 3 24" xfId="17407"/>
    <cellStyle name="40% - Accent4 6 3 24 2" xfId="40182"/>
    <cellStyle name="40% - Accent4 6 3 25" xfId="18063"/>
    <cellStyle name="40% - Accent4 6 3 25 2" xfId="40838"/>
    <cellStyle name="40% - Accent4 6 3 26" xfId="18719"/>
    <cellStyle name="40% - Accent4 6 3 26 2" xfId="41494"/>
    <cellStyle name="40% - Accent4 6 3 27" xfId="19375"/>
    <cellStyle name="40% - Accent4 6 3 27 2" xfId="42150"/>
    <cellStyle name="40% - Accent4 6 3 28" xfId="20031"/>
    <cellStyle name="40% - Accent4 6 3 28 2" xfId="42806"/>
    <cellStyle name="40% - Accent4 6 3 29" xfId="20687"/>
    <cellStyle name="40% - Accent4 6 3 29 2" xfId="43462"/>
    <cellStyle name="40% - Accent4 6 3 3" xfId="1991"/>
    <cellStyle name="40% - Accent4 6 3 3 2" xfId="4287"/>
    <cellStyle name="40% - Accent4 6 3 3 2 2" xfId="27062"/>
    <cellStyle name="40% - Accent4 6 3 3 3" xfId="24766"/>
    <cellStyle name="40% - Accent4 6 3 30" xfId="21343"/>
    <cellStyle name="40% - Accent4 6 3 30 2" xfId="44118"/>
    <cellStyle name="40% - Accent4 6 3 31" xfId="21999"/>
    <cellStyle name="40% - Accent4 6 3 31 2" xfId="44774"/>
    <cellStyle name="40% - Accent4 6 3 32" xfId="22655"/>
    <cellStyle name="40% - Accent4 6 3 32 2" xfId="45430"/>
    <cellStyle name="40% - Accent4 6 3 33" xfId="23454"/>
    <cellStyle name="40% - Accent4 6 3 4" xfId="4943"/>
    <cellStyle name="40% - Accent4 6 3 4 2" xfId="27718"/>
    <cellStyle name="40% - Accent4 6 3 5" xfId="5599"/>
    <cellStyle name="40% - Accent4 6 3 5 2" xfId="28374"/>
    <cellStyle name="40% - Accent4 6 3 6" xfId="6255"/>
    <cellStyle name="40% - Accent4 6 3 6 2" xfId="29030"/>
    <cellStyle name="40% - Accent4 6 3 7" xfId="2975"/>
    <cellStyle name="40% - Accent4 6 3 7 2" xfId="25750"/>
    <cellStyle name="40% - Accent4 6 3 8" xfId="6911"/>
    <cellStyle name="40% - Accent4 6 3 8 2" xfId="29686"/>
    <cellStyle name="40% - Accent4 6 3 9" xfId="7567"/>
    <cellStyle name="40% - Accent4 6 3 9 2" xfId="30342"/>
    <cellStyle name="40% - Accent4 6 30" xfId="19047"/>
    <cellStyle name="40% - Accent4 6 30 2" xfId="41822"/>
    <cellStyle name="40% - Accent4 6 31" xfId="19703"/>
    <cellStyle name="40% - Accent4 6 31 2" xfId="42478"/>
    <cellStyle name="40% - Accent4 6 32" xfId="20359"/>
    <cellStyle name="40% - Accent4 6 32 2" xfId="43134"/>
    <cellStyle name="40% - Accent4 6 33" xfId="21015"/>
    <cellStyle name="40% - Accent4 6 33 2" xfId="43790"/>
    <cellStyle name="40% - Accent4 6 34" xfId="21671"/>
    <cellStyle name="40% - Accent4 6 34 2" xfId="44446"/>
    <cellStyle name="40% - Accent4 6 35" xfId="22327"/>
    <cellStyle name="40% - Accent4 6 35 2" xfId="45102"/>
    <cellStyle name="40% - Accent4 6 36" xfId="266"/>
    <cellStyle name="40% - Accent4 6 37" xfId="22983"/>
    <cellStyle name="40% - Accent4 6 4" xfId="352"/>
    <cellStyle name="40% - Accent4 6 4 2" xfId="2647"/>
    <cellStyle name="40% - Accent4 6 4 2 2" xfId="25422"/>
    <cellStyle name="40% - Accent4 6 4 3" xfId="23126"/>
    <cellStyle name="40% - Accent4 6 5" xfId="1007"/>
    <cellStyle name="40% - Accent4 6 5 2" xfId="3303"/>
    <cellStyle name="40% - Accent4 6 5 2 2" xfId="26078"/>
    <cellStyle name="40% - Accent4 6 5 3" xfId="23782"/>
    <cellStyle name="40% - Accent4 6 6" xfId="1663"/>
    <cellStyle name="40% - Accent4 6 6 2" xfId="3959"/>
    <cellStyle name="40% - Accent4 6 6 2 2" xfId="26734"/>
    <cellStyle name="40% - Accent4 6 6 3" xfId="24438"/>
    <cellStyle name="40% - Accent4 6 7" xfId="4615"/>
    <cellStyle name="40% - Accent4 6 7 2" xfId="27390"/>
    <cellStyle name="40% - Accent4 6 8" xfId="5271"/>
    <cellStyle name="40% - Accent4 6 8 2" xfId="28046"/>
    <cellStyle name="40% - Accent4 6 9" xfId="5927"/>
    <cellStyle name="40% - Accent4 6 9 2" xfId="28702"/>
    <cellStyle name="40% - Accent4 7" xfId="425"/>
    <cellStyle name="40% - Accent4 7 10" xfId="6656"/>
    <cellStyle name="40% - Accent4 7 10 2" xfId="29431"/>
    <cellStyle name="40% - Accent4 7 11" xfId="7312"/>
    <cellStyle name="40% - Accent4 7 11 2" xfId="30087"/>
    <cellStyle name="40% - Accent4 7 12" xfId="7968"/>
    <cellStyle name="40% - Accent4 7 12 2" xfId="30743"/>
    <cellStyle name="40% - Accent4 7 13" xfId="8624"/>
    <cellStyle name="40% - Accent4 7 13 2" xfId="31399"/>
    <cellStyle name="40% - Accent4 7 14" xfId="9280"/>
    <cellStyle name="40% - Accent4 7 14 2" xfId="32055"/>
    <cellStyle name="40% - Accent4 7 15" xfId="9936"/>
    <cellStyle name="40% - Accent4 7 15 2" xfId="32711"/>
    <cellStyle name="40% - Accent4 7 16" xfId="10592"/>
    <cellStyle name="40% - Accent4 7 16 2" xfId="33367"/>
    <cellStyle name="40% - Accent4 7 17" xfId="11248"/>
    <cellStyle name="40% - Accent4 7 17 2" xfId="34023"/>
    <cellStyle name="40% - Accent4 7 18" xfId="11904"/>
    <cellStyle name="40% - Accent4 7 18 2" xfId="34679"/>
    <cellStyle name="40% - Accent4 7 19" xfId="12560"/>
    <cellStyle name="40% - Accent4 7 19 2" xfId="35335"/>
    <cellStyle name="40% - Accent4 7 2" xfId="752"/>
    <cellStyle name="40% - Accent4 7 2 10" xfId="8296"/>
    <cellStyle name="40% - Accent4 7 2 10 2" xfId="31071"/>
    <cellStyle name="40% - Accent4 7 2 11" xfId="8952"/>
    <cellStyle name="40% - Accent4 7 2 11 2" xfId="31727"/>
    <cellStyle name="40% - Accent4 7 2 12" xfId="9608"/>
    <cellStyle name="40% - Accent4 7 2 12 2" xfId="32383"/>
    <cellStyle name="40% - Accent4 7 2 13" xfId="10264"/>
    <cellStyle name="40% - Accent4 7 2 13 2" xfId="33039"/>
    <cellStyle name="40% - Accent4 7 2 14" xfId="10920"/>
    <cellStyle name="40% - Accent4 7 2 14 2" xfId="33695"/>
    <cellStyle name="40% - Accent4 7 2 15" xfId="11576"/>
    <cellStyle name="40% - Accent4 7 2 15 2" xfId="34351"/>
    <cellStyle name="40% - Accent4 7 2 16" xfId="12232"/>
    <cellStyle name="40% - Accent4 7 2 16 2" xfId="35007"/>
    <cellStyle name="40% - Accent4 7 2 17" xfId="12888"/>
    <cellStyle name="40% - Accent4 7 2 17 2" xfId="35663"/>
    <cellStyle name="40% - Accent4 7 2 18" xfId="13544"/>
    <cellStyle name="40% - Accent4 7 2 18 2" xfId="36319"/>
    <cellStyle name="40% - Accent4 7 2 19" xfId="14200"/>
    <cellStyle name="40% - Accent4 7 2 19 2" xfId="36975"/>
    <cellStyle name="40% - Accent4 7 2 2" xfId="1408"/>
    <cellStyle name="40% - Accent4 7 2 2 2" xfId="3704"/>
    <cellStyle name="40% - Accent4 7 2 2 2 2" xfId="26479"/>
    <cellStyle name="40% - Accent4 7 2 2 3" xfId="24183"/>
    <cellStyle name="40% - Accent4 7 2 20" xfId="14856"/>
    <cellStyle name="40% - Accent4 7 2 20 2" xfId="37631"/>
    <cellStyle name="40% - Accent4 7 2 21" xfId="15512"/>
    <cellStyle name="40% - Accent4 7 2 21 2" xfId="38287"/>
    <cellStyle name="40% - Accent4 7 2 22" xfId="16168"/>
    <cellStyle name="40% - Accent4 7 2 22 2" xfId="38943"/>
    <cellStyle name="40% - Accent4 7 2 23" xfId="16824"/>
    <cellStyle name="40% - Accent4 7 2 23 2" xfId="39599"/>
    <cellStyle name="40% - Accent4 7 2 24" xfId="17480"/>
    <cellStyle name="40% - Accent4 7 2 24 2" xfId="40255"/>
    <cellStyle name="40% - Accent4 7 2 25" xfId="18136"/>
    <cellStyle name="40% - Accent4 7 2 25 2" xfId="40911"/>
    <cellStyle name="40% - Accent4 7 2 26" xfId="18792"/>
    <cellStyle name="40% - Accent4 7 2 26 2" xfId="41567"/>
    <cellStyle name="40% - Accent4 7 2 27" xfId="19448"/>
    <cellStyle name="40% - Accent4 7 2 27 2" xfId="42223"/>
    <cellStyle name="40% - Accent4 7 2 28" xfId="20104"/>
    <cellStyle name="40% - Accent4 7 2 28 2" xfId="42879"/>
    <cellStyle name="40% - Accent4 7 2 29" xfId="20760"/>
    <cellStyle name="40% - Accent4 7 2 29 2" xfId="43535"/>
    <cellStyle name="40% - Accent4 7 2 3" xfId="2064"/>
    <cellStyle name="40% - Accent4 7 2 3 2" xfId="4360"/>
    <cellStyle name="40% - Accent4 7 2 3 2 2" xfId="27135"/>
    <cellStyle name="40% - Accent4 7 2 3 3" xfId="24839"/>
    <cellStyle name="40% - Accent4 7 2 30" xfId="21416"/>
    <cellStyle name="40% - Accent4 7 2 30 2" xfId="44191"/>
    <cellStyle name="40% - Accent4 7 2 31" xfId="22072"/>
    <cellStyle name="40% - Accent4 7 2 31 2" xfId="44847"/>
    <cellStyle name="40% - Accent4 7 2 32" xfId="22728"/>
    <cellStyle name="40% - Accent4 7 2 32 2" xfId="45503"/>
    <cellStyle name="40% - Accent4 7 2 33" xfId="23527"/>
    <cellStyle name="40% - Accent4 7 2 4" xfId="5016"/>
    <cellStyle name="40% - Accent4 7 2 4 2" xfId="27791"/>
    <cellStyle name="40% - Accent4 7 2 5" xfId="5672"/>
    <cellStyle name="40% - Accent4 7 2 5 2" xfId="28447"/>
    <cellStyle name="40% - Accent4 7 2 6" xfId="6328"/>
    <cellStyle name="40% - Accent4 7 2 6 2" xfId="29103"/>
    <cellStyle name="40% - Accent4 7 2 7" xfId="3048"/>
    <cellStyle name="40% - Accent4 7 2 7 2" xfId="25823"/>
    <cellStyle name="40% - Accent4 7 2 8" xfId="6984"/>
    <cellStyle name="40% - Accent4 7 2 8 2" xfId="29759"/>
    <cellStyle name="40% - Accent4 7 2 9" xfId="7640"/>
    <cellStyle name="40% - Accent4 7 2 9 2" xfId="30415"/>
    <cellStyle name="40% - Accent4 7 20" xfId="13216"/>
    <cellStyle name="40% - Accent4 7 20 2" xfId="35991"/>
    <cellStyle name="40% - Accent4 7 21" xfId="13872"/>
    <cellStyle name="40% - Accent4 7 21 2" xfId="36647"/>
    <cellStyle name="40% - Accent4 7 22" xfId="14528"/>
    <cellStyle name="40% - Accent4 7 22 2" xfId="37303"/>
    <cellStyle name="40% - Accent4 7 23" xfId="15184"/>
    <cellStyle name="40% - Accent4 7 23 2" xfId="37959"/>
    <cellStyle name="40% - Accent4 7 24" xfId="15840"/>
    <cellStyle name="40% - Accent4 7 24 2" xfId="38615"/>
    <cellStyle name="40% - Accent4 7 25" xfId="16496"/>
    <cellStyle name="40% - Accent4 7 25 2" xfId="39271"/>
    <cellStyle name="40% - Accent4 7 26" xfId="17152"/>
    <cellStyle name="40% - Accent4 7 26 2" xfId="39927"/>
    <cellStyle name="40% - Accent4 7 27" xfId="17808"/>
    <cellStyle name="40% - Accent4 7 27 2" xfId="40583"/>
    <cellStyle name="40% - Accent4 7 28" xfId="18464"/>
    <cellStyle name="40% - Accent4 7 28 2" xfId="41239"/>
    <cellStyle name="40% - Accent4 7 29" xfId="19120"/>
    <cellStyle name="40% - Accent4 7 29 2" xfId="41895"/>
    <cellStyle name="40% - Accent4 7 3" xfId="1080"/>
    <cellStyle name="40% - Accent4 7 3 2" xfId="2720"/>
    <cellStyle name="40% - Accent4 7 3 2 2" xfId="25495"/>
    <cellStyle name="40% - Accent4 7 3 3" xfId="23855"/>
    <cellStyle name="40% - Accent4 7 30" xfId="19776"/>
    <cellStyle name="40% - Accent4 7 30 2" xfId="42551"/>
    <cellStyle name="40% - Accent4 7 31" xfId="20432"/>
    <cellStyle name="40% - Accent4 7 31 2" xfId="43207"/>
    <cellStyle name="40% - Accent4 7 32" xfId="21088"/>
    <cellStyle name="40% - Accent4 7 32 2" xfId="43863"/>
    <cellStyle name="40% - Accent4 7 33" xfId="21744"/>
    <cellStyle name="40% - Accent4 7 33 2" xfId="44519"/>
    <cellStyle name="40% - Accent4 7 34" xfId="22400"/>
    <cellStyle name="40% - Accent4 7 34 2" xfId="45175"/>
    <cellStyle name="40% - Accent4 7 35" xfId="23199"/>
    <cellStyle name="40% - Accent4 7 4" xfId="1736"/>
    <cellStyle name="40% - Accent4 7 4 2" xfId="3376"/>
    <cellStyle name="40% - Accent4 7 4 2 2" xfId="26151"/>
    <cellStyle name="40% - Accent4 7 4 3" xfId="24511"/>
    <cellStyle name="40% - Accent4 7 5" xfId="4032"/>
    <cellStyle name="40% - Accent4 7 5 2" xfId="26807"/>
    <cellStyle name="40% - Accent4 7 6" xfId="4688"/>
    <cellStyle name="40% - Accent4 7 6 2" xfId="27463"/>
    <cellStyle name="40% - Accent4 7 7" xfId="5344"/>
    <cellStyle name="40% - Accent4 7 7 2" xfId="28119"/>
    <cellStyle name="40% - Accent4 7 8" xfId="6000"/>
    <cellStyle name="40% - Accent4 7 8 2" xfId="28775"/>
    <cellStyle name="40% - Accent4 7 9" xfId="2392"/>
    <cellStyle name="40% - Accent4 7 9 2" xfId="25167"/>
    <cellStyle name="40% - Accent4 8" xfId="439"/>
    <cellStyle name="40% - Accent4 8 10" xfId="6670"/>
    <cellStyle name="40% - Accent4 8 10 2" xfId="29445"/>
    <cellStyle name="40% - Accent4 8 11" xfId="7326"/>
    <cellStyle name="40% - Accent4 8 11 2" xfId="30101"/>
    <cellStyle name="40% - Accent4 8 12" xfId="7982"/>
    <cellStyle name="40% - Accent4 8 12 2" xfId="30757"/>
    <cellStyle name="40% - Accent4 8 13" xfId="8638"/>
    <cellStyle name="40% - Accent4 8 13 2" xfId="31413"/>
    <cellStyle name="40% - Accent4 8 14" xfId="9294"/>
    <cellStyle name="40% - Accent4 8 14 2" xfId="32069"/>
    <cellStyle name="40% - Accent4 8 15" xfId="9950"/>
    <cellStyle name="40% - Accent4 8 15 2" xfId="32725"/>
    <cellStyle name="40% - Accent4 8 16" xfId="10606"/>
    <cellStyle name="40% - Accent4 8 16 2" xfId="33381"/>
    <cellStyle name="40% - Accent4 8 17" xfId="11262"/>
    <cellStyle name="40% - Accent4 8 17 2" xfId="34037"/>
    <cellStyle name="40% - Accent4 8 18" xfId="11918"/>
    <cellStyle name="40% - Accent4 8 18 2" xfId="34693"/>
    <cellStyle name="40% - Accent4 8 19" xfId="12574"/>
    <cellStyle name="40% - Accent4 8 19 2" xfId="35349"/>
    <cellStyle name="40% - Accent4 8 2" xfId="766"/>
    <cellStyle name="40% - Accent4 8 2 10" xfId="8310"/>
    <cellStyle name="40% - Accent4 8 2 10 2" xfId="31085"/>
    <cellStyle name="40% - Accent4 8 2 11" xfId="8966"/>
    <cellStyle name="40% - Accent4 8 2 11 2" xfId="31741"/>
    <cellStyle name="40% - Accent4 8 2 12" xfId="9622"/>
    <cellStyle name="40% - Accent4 8 2 12 2" xfId="32397"/>
    <cellStyle name="40% - Accent4 8 2 13" xfId="10278"/>
    <cellStyle name="40% - Accent4 8 2 13 2" xfId="33053"/>
    <cellStyle name="40% - Accent4 8 2 14" xfId="10934"/>
    <cellStyle name="40% - Accent4 8 2 14 2" xfId="33709"/>
    <cellStyle name="40% - Accent4 8 2 15" xfId="11590"/>
    <cellStyle name="40% - Accent4 8 2 15 2" xfId="34365"/>
    <cellStyle name="40% - Accent4 8 2 16" xfId="12246"/>
    <cellStyle name="40% - Accent4 8 2 16 2" xfId="35021"/>
    <cellStyle name="40% - Accent4 8 2 17" xfId="12902"/>
    <cellStyle name="40% - Accent4 8 2 17 2" xfId="35677"/>
    <cellStyle name="40% - Accent4 8 2 18" xfId="13558"/>
    <cellStyle name="40% - Accent4 8 2 18 2" xfId="36333"/>
    <cellStyle name="40% - Accent4 8 2 19" xfId="14214"/>
    <cellStyle name="40% - Accent4 8 2 19 2" xfId="36989"/>
    <cellStyle name="40% - Accent4 8 2 2" xfId="1422"/>
    <cellStyle name="40% - Accent4 8 2 2 2" xfId="3718"/>
    <cellStyle name="40% - Accent4 8 2 2 2 2" xfId="26493"/>
    <cellStyle name="40% - Accent4 8 2 2 3" xfId="24197"/>
    <cellStyle name="40% - Accent4 8 2 20" xfId="14870"/>
    <cellStyle name="40% - Accent4 8 2 20 2" xfId="37645"/>
    <cellStyle name="40% - Accent4 8 2 21" xfId="15526"/>
    <cellStyle name="40% - Accent4 8 2 21 2" xfId="38301"/>
    <cellStyle name="40% - Accent4 8 2 22" xfId="16182"/>
    <cellStyle name="40% - Accent4 8 2 22 2" xfId="38957"/>
    <cellStyle name="40% - Accent4 8 2 23" xfId="16838"/>
    <cellStyle name="40% - Accent4 8 2 23 2" xfId="39613"/>
    <cellStyle name="40% - Accent4 8 2 24" xfId="17494"/>
    <cellStyle name="40% - Accent4 8 2 24 2" xfId="40269"/>
    <cellStyle name="40% - Accent4 8 2 25" xfId="18150"/>
    <cellStyle name="40% - Accent4 8 2 25 2" xfId="40925"/>
    <cellStyle name="40% - Accent4 8 2 26" xfId="18806"/>
    <cellStyle name="40% - Accent4 8 2 26 2" xfId="41581"/>
    <cellStyle name="40% - Accent4 8 2 27" xfId="19462"/>
    <cellStyle name="40% - Accent4 8 2 27 2" xfId="42237"/>
    <cellStyle name="40% - Accent4 8 2 28" xfId="20118"/>
    <cellStyle name="40% - Accent4 8 2 28 2" xfId="42893"/>
    <cellStyle name="40% - Accent4 8 2 29" xfId="20774"/>
    <cellStyle name="40% - Accent4 8 2 29 2" xfId="43549"/>
    <cellStyle name="40% - Accent4 8 2 3" xfId="2078"/>
    <cellStyle name="40% - Accent4 8 2 3 2" xfId="4374"/>
    <cellStyle name="40% - Accent4 8 2 3 2 2" xfId="27149"/>
    <cellStyle name="40% - Accent4 8 2 3 3" xfId="24853"/>
    <cellStyle name="40% - Accent4 8 2 30" xfId="21430"/>
    <cellStyle name="40% - Accent4 8 2 30 2" xfId="44205"/>
    <cellStyle name="40% - Accent4 8 2 31" xfId="22086"/>
    <cellStyle name="40% - Accent4 8 2 31 2" xfId="44861"/>
    <cellStyle name="40% - Accent4 8 2 32" xfId="22742"/>
    <cellStyle name="40% - Accent4 8 2 32 2" xfId="45517"/>
    <cellStyle name="40% - Accent4 8 2 33" xfId="23541"/>
    <cellStyle name="40% - Accent4 8 2 4" xfId="5030"/>
    <cellStyle name="40% - Accent4 8 2 4 2" xfId="27805"/>
    <cellStyle name="40% - Accent4 8 2 5" xfId="5686"/>
    <cellStyle name="40% - Accent4 8 2 5 2" xfId="28461"/>
    <cellStyle name="40% - Accent4 8 2 6" xfId="6342"/>
    <cellStyle name="40% - Accent4 8 2 6 2" xfId="29117"/>
    <cellStyle name="40% - Accent4 8 2 7" xfId="3062"/>
    <cellStyle name="40% - Accent4 8 2 7 2" xfId="25837"/>
    <cellStyle name="40% - Accent4 8 2 8" xfId="6998"/>
    <cellStyle name="40% - Accent4 8 2 8 2" xfId="29773"/>
    <cellStyle name="40% - Accent4 8 2 9" xfId="7654"/>
    <cellStyle name="40% - Accent4 8 2 9 2" xfId="30429"/>
    <cellStyle name="40% - Accent4 8 20" xfId="13230"/>
    <cellStyle name="40% - Accent4 8 20 2" xfId="36005"/>
    <cellStyle name="40% - Accent4 8 21" xfId="13886"/>
    <cellStyle name="40% - Accent4 8 21 2" xfId="36661"/>
    <cellStyle name="40% - Accent4 8 22" xfId="14542"/>
    <cellStyle name="40% - Accent4 8 22 2" xfId="37317"/>
    <cellStyle name="40% - Accent4 8 23" xfId="15198"/>
    <cellStyle name="40% - Accent4 8 23 2" xfId="37973"/>
    <cellStyle name="40% - Accent4 8 24" xfId="15854"/>
    <cellStyle name="40% - Accent4 8 24 2" xfId="38629"/>
    <cellStyle name="40% - Accent4 8 25" xfId="16510"/>
    <cellStyle name="40% - Accent4 8 25 2" xfId="39285"/>
    <cellStyle name="40% - Accent4 8 26" xfId="17166"/>
    <cellStyle name="40% - Accent4 8 26 2" xfId="39941"/>
    <cellStyle name="40% - Accent4 8 27" xfId="17822"/>
    <cellStyle name="40% - Accent4 8 27 2" xfId="40597"/>
    <cellStyle name="40% - Accent4 8 28" xfId="18478"/>
    <cellStyle name="40% - Accent4 8 28 2" xfId="41253"/>
    <cellStyle name="40% - Accent4 8 29" xfId="19134"/>
    <cellStyle name="40% - Accent4 8 29 2" xfId="41909"/>
    <cellStyle name="40% - Accent4 8 3" xfId="1094"/>
    <cellStyle name="40% - Accent4 8 3 2" xfId="2734"/>
    <cellStyle name="40% - Accent4 8 3 2 2" xfId="25509"/>
    <cellStyle name="40% - Accent4 8 3 3" xfId="23869"/>
    <cellStyle name="40% - Accent4 8 30" xfId="19790"/>
    <cellStyle name="40% - Accent4 8 30 2" xfId="42565"/>
    <cellStyle name="40% - Accent4 8 31" xfId="20446"/>
    <cellStyle name="40% - Accent4 8 31 2" xfId="43221"/>
    <cellStyle name="40% - Accent4 8 32" xfId="21102"/>
    <cellStyle name="40% - Accent4 8 32 2" xfId="43877"/>
    <cellStyle name="40% - Accent4 8 33" xfId="21758"/>
    <cellStyle name="40% - Accent4 8 33 2" xfId="44533"/>
    <cellStyle name="40% - Accent4 8 34" xfId="22414"/>
    <cellStyle name="40% - Accent4 8 34 2" xfId="45189"/>
    <cellStyle name="40% - Accent4 8 35" xfId="23213"/>
    <cellStyle name="40% - Accent4 8 4" xfId="1750"/>
    <cellStyle name="40% - Accent4 8 4 2" xfId="3390"/>
    <cellStyle name="40% - Accent4 8 4 2 2" xfId="26165"/>
    <cellStyle name="40% - Accent4 8 4 3" xfId="24525"/>
    <cellStyle name="40% - Accent4 8 5" xfId="4046"/>
    <cellStyle name="40% - Accent4 8 5 2" xfId="26821"/>
    <cellStyle name="40% - Accent4 8 6" xfId="4702"/>
    <cellStyle name="40% - Accent4 8 6 2" xfId="27477"/>
    <cellStyle name="40% - Accent4 8 7" xfId="5358"/>
    <cellStyle name="40% - Accent4 8 7 2" xfId="28133"/>
    <cellStyle name="40% - Accent4 8 8" xfId="6014"/>
    <cellStyle name="40% - Accent4 8 8 2" xfId="28789"/>
    <cellStyle name="40% - Accent4 8 9" xfId="2406"/>
    <cellStyle name="40% - Accent4 8 9 2" xfId="25181"/>
    <cellStyle name="40% - Accent4 9" xfId="453"/>
    <cellStyle name="40% - Accent4 9 10" xfId="6684"/>
    <cellStyle name="40% - Accent4 9 10 2" xfId="29459"/>
    <cellStyle name="40% - Accent4 9 11" xfId="7340"/>
    <cellStyle name="40% - Accent4 9 11 2" xfId="30115"/>
    <cellStyle name="40% - Accent4 9 12" xfId="7996"/>
    <cellStyle name="40% - Accent4 9 12 2" xfId="30771"/>
    <cellStyle name="40% - Accent4 9 13" xfId="8652"/>
    <cellStyle name="40% - Accent4 9 13 2" xfId="31427"/>
    <cellStyle name="40% - Accent4 9 14" xfId="9308"/>
    <cellStyle name="40% - Accent4 9 14 2" xfId="32083"/>
    <cellStyle name="40% - Accent4 9 15" xfId="9964"/>
    <cellStyle name="40% - Accent4 9 15 2" xfId="32739"/>
    <cellStyle name="40% - Accent4 9 16" xfId="10620"/>
    <cellStyle name="40% - Accent4 9 16 2" xfId="33395"/>
    <cellStyle name="40% - Accent4 9 17" xfId="11276"/>
    <cellStyle name="40% - Accent4 9 17 2" xfId="34051"/>
    <cellStyle name="40% - Accent4 9 18" xfId="11932"/>
    <cellStyle name="40% - Accent4 9 18 2" xfId="34707"/>
    <cellStyle name="40% - Accent4 9 19" xfId="12588"/>
    <cellStyle name="40% - Accent4 9 19 2" xfId="35363"/>
    <cellStyle name="40% - Accent4 9 2" xfId="780"/>
    <cellStyle name="40% - Accent4 9 2 10" xfId="8324"/>
    <cellStyle name="40% - Accent4 9 2 10 2" xfId="31099"/>
    <cellStyle name="40% - Accent4 9 2 11" xfId="8980"/>
    <cellStyle name="40% - Accent4 9 2 11 2" xfId="31755"/>
    <cellStyle name="40% - Accent4 9 2 12" xfId="9636"/>
    <cellStyle name="40% - Accent4 9 2 12 2" xfId="32411"/>
    <cellStyle name="40% - Accent4 9 2 13" xfId="10292"/>
    <cellStyle name="40% - Accent4 9 2 13 2" xfId="33067"/>
    <cellStyle name="40% - Accent4 9 2 14" xfId="10948"/>
    <cellStyle name="40% - Accent4 9 2 14 2" xfId="33723"/>
    <cellStyle name="40% - Accent4 9 2 15" xfId="11604"/>
    <cellStyle name="40% - Accent4 9 2 15 2" xfId="34379"/>
    <cellStyle name="40% - Accent4 9 2 16" xfId="12260"/>
    <cellStyle name="40% - Accent4 9 2 16 2" xfId="35035"/>
    <cellStyle name="40% - Accent4 9 2 17" xfId="12916"/>
    <cellStyle name="40% - Accent4 9 2 17 2" xfId="35691"/>
    <cellStyle name="40% - Accent4 9 2 18" xfId="13572"/>
    <cellStyle name="40% - Accent4 9 2 18 2" xfId="36347"/>
    <cellStyle name="40% - Accent4 9 2 19" xfId="14228"/>
    <cellStyle name="40% - Accent4 9 2 19 2" xfId="37003"/>
    <cellStyle name="40% - Accent4 9 2 2" xfId="1436"/>
    <cellStyle name="40% - Accent4 9 2 2 2" xfId="3732"/>
    <cellStyle name="40% - Accent4 9 2 2 2 2" xfId="26507"/>
    <cellStyle name="40% - Accent4 9 2 2 3" xfId="24211"/>
    <cellStyle name="40% - Accent4 9 2 20" xfId="14884"/>
    <cellStyle name="40% - Accent4 9 2 20 2" xfId="37659"/>
    <cellStyle name="40% - Accent4 9 2 21" xfId="15540"/>
    <cellStyle name="40% - Accent4 9 2 21 2" xfId="38315"/>
    <cellStyle name="40% - Accent4 9 2 22" xfId="16196"/>
    <cellStyle name="40% - Accent4 9 2 22 2" xfId="38971"/>
    <cellStyle name="40% - Accent4 9 2 23" xfId="16852"/>
    <cellStyle name="40% - Accent4 9 2 23 2" xfId="39627"/>
    <cellStyle name="40% - Accent4 9 2 24" xfId="17508"/>
    <cellStyle name="40% - Accent4 9 2 24 2" xfId="40283"/>
    <cellStyle name="40% - Accent4 9 2 25" xfId="18164"/>
    <cellStyle name="40% - Accent4 9 2 25 2" xfId="40939"/>
    <cellStyle name="40% - Accent4 9 2 26" xfId="18820"/>
    <cellStyle name="40% - Accent4 9 2 26 2" xfId="41595"/>
    <cellStyle name="40% - Accent4 9 2 27" xfId="19476"/>
    <cellStyle name="40% - Accent4 9 2 27 2" xfId="42251"/>
    <cellStyle name="40% - Accent4 9 2 28" xfId="20132"/>
    <cellStyle name="40% - Accent4 9 2 28 2" xfId="42907"/>
    <cellStyle name="40% - Accent4 9 2 29" xfId="20788"/>
    <cellStyle name="40% - Accent4 9 2 29 2" xfId="43563"/>
    <cellStyle name="40% - Accent4 9 2 3" xfId="2092"/>
    <cellStyle name="40% - Accent4 9 2 3 2" xfId="4388"/>
    <cellStyle name="40% - Accent4 9 2 3 2 2" xfId="27163"/>
    <cellStyle name="40% - Accent4 9 2 3 3" xfId="24867"/>
    <cellStyle name="40% - Accent4 9 2 30" xfId="21444"/>
    <cellStyle name="40% - Accent4 9 2 30 2" xfId="44219"/>
    <cellStyle name="40% - Accent4 9 2 31" xfId="22100"/>
    <cellStyle name="40% - Accent4 9 2 31 2" xfId="44875"/>
    <cellStyle name="40% - Accent4 9 2 32" xfId="22756"/>
    <cellStyle name="40% - Accent4 9 2 32 2" xfId="45531"/>
    <cellStyle name="40% - Accent4 9 2 33" xfId="23555"/>
    <cellStyle name="40% - Accent4 9 2 4" xfId="5044"/>
    <cellStyle name="40% - Accent4 9 2 4 2" xfId="27819"/>
    <cellStyle name="40% - Accent4 9 2 5" xfId="5700"/>
    <cellStyle name="40% - Accent4 9 2 5 2" xfId="28475"/>
    <cellStyle name="40% - Accent4 9 2 6" xfId="6356"/>
    <cellStyle name="40% - Accent4 9 2 6 2" xfId="29131"/>
    <cellStyle name="40% - Accent4 9 2 7" xfId="3076"/>
    <cellStyle name="40% - Accent4 9 2 7 2" xfId="25851"/>
    <cellStyle name="40% - Accent4 9 2 8" xfId="7012"/>
    <cellStyle name="40% - Accent4 9 2 8 2" xfId="29787"/>
    <cellStyle name="40% - Accent4 9 2 9" xfId="7668"/>
    <cellStyle name="40% - Accent4 9 2 9 2" xfId="30443"/>
    <cellStyle name="40% - Accent4 9 20" xfId="13244"/>
    <cellStyle name="40% - Accent4 9 20 2" xfId="36019"/>
    <cellStyle name="40% - Accent4 9 21" xfId="13900"/>
    <cellStyle name="40% - Accent4 9 21 2" xfId="36675"/>
    <cellStyle name="40% - Accent4 9 22" xfId="14556"/>
    <cellStyle name="40% - Accent4 9 22 2" xfId="37331"/>
    <cellStyle name="40% - Accent4 9 23" xfId="15212"/>
    <cellStyle name="40% - Accent4 9 23 2" xfId="37987"/>
    <cellStyle name="40% - Accent4 9 24" xfId="15868"/>
    <cellStyle name="40% - Accent4 9 24 2" xfId="38643"/>
    <cellStyle name="40% - Accent4 9 25" xfId="16524"/>
    <cellStyle name="40% - Accent4 9 25 2" xfId="39299"/>
    <cellStyle name="40% - Accent4 9 26" xfId="17180"/>
    <cellStyle name="40% - Accent4 9 26 2" xfId="39955"/>
    <cellStyle name="40% - Accent4 9 27" xfId="17836"/>
    <cellStyle name="40% - Accent4 9 27 2" xfId="40611"/>
    <cellStyle name="40% - Accent4 9 28" xfId="18492"/>
    <cellStyle name="40% - Accent4 9 28 2" xfId="41267"/>
    <cellStyle name="40% - Accent4 9 29" xfId="19148"/>
    <cellStyle name="40% - Accent4 9 29 2" xfId="41923"/>
    <cellStyle name="40% - Accent4 9 3" xfId="1108"/>
    <cellStyle name="40% - Accent4 9 3 2" xfId="2748"/>
    <cellStyle name="40% - Accent4 9 3 2 2" xfId="25523"/>
    <cellStyle name="40% - Accent4 9 3 3" xfId="23883"/>
    <cellStyle name="40% - Accent4 9 30" xfId="19804"/>
    <cellStyle name="40% - Accent4 9 30 2" xfId="42579"/>
    <cellStyle name="40% - Accent4 9 31" xfId="20460"/>
    <cellStyle name="40% - Accent4 9 31 2" xfId="43235"/>
    <cellStyle name="40% - Accent4 9 32" xfId="21116"/>
    <cellStyle name="40% - Accent4 9 32 2" xfId="43891"/>
    <cellStyle name="40% - Accent4 9 33" xfId="21772"/>
    <cellStyle name="40% - Accent4 9 33 2" xfId="44547"/>
    <cellStyle name="40% - Accent4 9 34" xfId="22428"/>
    <cellStyle name="40% - Accent4 9 34 2" xfId="45203"/>
    <cellStyle name="40% - Accent4 9 35" xfId="23227"/>
    <cellStyle name="40% - Accent4 9 4" xfId="1764"/>
    <cellStyle name="40% - Accent4 9 4 2" xfId="3404"/>
    <cellStyle name="40% - Accent4 9 4 2 2" xfId="26179"/>
    <cellStyle name="40% - Accent4 9 4 3" xfId="24539"/>
    <cellStyle name="40% - Accent4 9 5" xfId="4060"/>
    <cellStyle name="40% - Accent4 9 5 2" xfId="26835"/>
    <cellStyle name="40% - Accent4 9 6" xfId="4716"/>
    <cellStyle name="40% - Accent4 9 6 2" xfId="27491"/>
    <cellStyle name="40% - Accent4 9 7" xfId="5372"/>
    <cellStyle name="40% - Accent4 9 7 2" xfId="28147"/>
    <cellStyle name="40% - Accent4 9 8" xfId="6028"/>
    <cellStyle name="40% - Accent4 9 8 2" xfId="28803"/>
    <cellStyle name="40% - Accent4 9 9" xfId="2420"/>
    <cellStyle name="40% - Accent4 9 9 2" xfId="25195"/>
    <cellStyle name="40% - Accent5" xfId="38" builtinId="47" customBuiltin="1"/>
    <cellStyle name="40% - Accent5 10" xfId="467"/>
    <cellStyle name="40% - Accent5 10 10" xfId="6698"/>
    <cellStyle name="40% - Accent5 10 10 2" xfId="29473"/>
    <cellStyle name="40% - Accent5 10 11" xfId="7354"/>
    <cellStyle name="40% - Accent5 10 11 2" xfId="30129"/>
    <cellStyle name="40% - Accent5 10 12" xfId="8010"/>
    <cellStyle name="40% - Accent5 10 12 2" xfId="30785"/>
    <cellStyle name="40% - Accent5 10 13" xfId="8666"/>
    <cellStyle name="40% - Accent5 10 13 2" xfId="31441"/>
    <cellStyle name="40% - Accent5 10 14" xfId="9322"/>
    <cellStyle name="40% - Accent5 10 14 2" xfId="32097"/>
    <cellStyle name="40% - Accent5 10 15" xfId="9978"/>
    <cellStyle name="40% - Accent5 10 15 2" xfId="32753"/>
    <cellStyle name="40% - Accent5 10 16" xfId="10634"/>
    <cellStyle name="40% - Accent5 10 16 2" xfId="33409"/>
    <cellStyle name="40% - Accent5 10 17" xfId="11290"/>
    <cellStyle name="40% - Accent5 10 17 2" xfId="34065"/>
    <cellStyle name="40% - Accent5 10 18" xfId="11946"/>
    <cellStyle name="40% - Accent5 10 18 2" xfId="34721"/>
    <cellStyle name="40% - Accent5 10 19" xfId="12602"/>
    <cellStyle name="40% - Accent5 10 19 2" xfId="35377"/>
    <cellStyle name="40% - Accent5 10 2" xfId="794"/>
    <cellStyle name="40% - Accent5 10 2 10" xfId="8338"/>
    <cellStyle name="40% - Accent5 10 2 10 2" xfId="31113"/>
    <cellStyle name="40% - Accent5 10 2 11" xfId="8994"/>
    <cellStyle name="40% - Accent5 10 2 11 2" xfId="31769"/>
    <cellStyle name="40% - Accent5 10 2 12" xfId="9650"/>
    <cellStyle name="40% - Accent5 10 2 12 2" xfId="32425"/>
    <cellStyle name="40% - Accent5 10 2 13" xfId="10306"/>
    <cellStyle name="40% - Accent5 10 2 13 2" xfId="33081"/>
    <cellStyle name="40% - Accent5 10 2 14" xfId="10962"/>
    <cellStyle name="40% - Accent5 10 2 14 2" xfId="33737"/>
    <cellStyle name="40% - Accent5 10 2 15" xfId="11618"/>
    <cellStyle name="40% - Accent5 10 2 15 2" xfId="34393"/>
    <cellStyle name="40% - Accent5 10 2 16" xfId="12274"/>
    <cellStyle name="40% - Accent5 10 2 16 2" xfId="35049"/>
    <cellStyle name="40% - Accent5 10 2 17" xfId="12930"/>
    <cellStyle name="40% - Accent5 10 2 17 2" xfId="35705"/>
    <cellStyle name="40% - Accent5 10 2 18" xfId="13586"/>
    <cellStyle name="40% - Accent5 10 2 18 2" xfId="36361"/>
    <cellStyle name="40% - Accent5 10 2 19" xfId="14242"/>
    <cellStyle name="40% - Accent5 10 2 19 2" xfId="37017"/>
    <cellStyle name="40% - Accent5 10 2 2" xfId="1450"/>
    <cellStyle name="40% - Accent5 10 2 2 2" xfId="3746"/>
    <cellStyle name="40% - Accent5 10 2 2 2 2" xfId="26521"/>
    <cellStyle name="40% - Accent5 10 2 2 3" xfId="24225"/>
    <cellStyle name="40% - Accent5 10 2 20" xfId="14898"/>
    <cellStyle name="40% - Accent5 10 2 20 2" xfId="37673"/>
    <cellStyle name="40% - Accent5 10 2 21" xfId="15554"/>
    <cellStyle name="40% - Accent5 10 2 21 2" xfId="38329"/>
    <cellStyle name="40% - Accent5 10 2 22" xfId="16210"/>
    <cellStyle name="40% - Accent5 10 2 22 2" xfId="38985"/>
    <cellStyle name="40% - Accent5 10 2 23" xfId="16866"/>
    <cellStyle name="40% - Accent5 10 2 23 2" xfId="39641"/>
    <cellStyle name="40% - Accent5 10 2 24" xfId="17522"/>
    <cellStyle name="40% - Accent5 10 2 24 2" xfId="40297"/>
    <cellStyle name="40% - Accent5 10 2 25" xfId="18178"/>
    <cellStyle name="40% - Accent5 10 2 25 2" xfId="40953"/>
    <cellStyle name="40% - Accent5 10 2 26" xfId="18834"/>
    <cellStyle name="40% - Accent5 10 2 26 2" xfId="41609"/>
    <cellStyle name="40% - Accent5 10 2 27" xfId="19490"/>
    <cellStyle name="40% - Accent5 10 2 27 2" xfId="42265"/>
    <cellStyle name="40% - Accent5 10 2 28" xfId="20146"/>
    <cellStyle name="40% - Accent5 10 2 28 2" xfId="42921"/>
    <cellStyle name="40% - Accent5 10 2 29" xfId="20802"/>
    <cellStyle name="40% - Accent5 10 2 29 2" xfId="43577"/>
    <cellStyle name="40% - Accent5 10 2 3" xfId="2106"/>
    <cellStyle name="40% - Accent5 10 2 3 2" xfId="4402"/>
    <cellStyle name="40% - Accent5 10 2 3 2 2" xfId="27177"/>
    <cellStyle name="40% - Accent5 10 2 3 3" xfId="24881"/>
    <cellStyle name="40% - Accent5 10 2 30" xfId="21458"/>
    <cellStyle name="40% - Accent5 10 2 30 2" xfId="44233"/>
    <cellStyle name="40% - Accent5 10 2 31" xfId="22114"/>
    <cellStyle name="40% - Accent5 10 2 31 2" xfId="44889"/>
    <cellStyle name="40% - Accent5 10 2 32" xfId="22770"/>
    <cellStyle name="40% - Accent5 10 2 32 2" xfId="45545"/>
    <cellStyle name="40% - Accent5 10 2 33" xfId="23569"/>
    <cellStyle name="40% - Accent5 10 2 4" xfId="5058"/>
    <cellStyle name="40% - Accent5 10 2 4 2" xfId="27833"/>
    <cellStyle name="40% - Accent5 10 2 5" xfId="5714"/>
    <cellStyle name="40% - Accent5 10 2 5 2" xfId="28489"/>
    <cellStyle name="40% - Accent5 10 2 6" xfId="6370"/>
    <cellStyle name="40% - Accent5 10 2 6 2" xfId="29145"/>
    <cellStyle name="40% - Accent5 10 2 7" xfId="3090"/>
    <cellStyle name="40% - Accent5 10 2 7 2" xfId="25865"/>
    <cellStyle name="40% - Accent5 10 2 8" xfId="7026"/>
    <cellStyle name="40% - Accent5 10 2 8 2" xfId="29801"/>
    <cellStyle name="40% - Accent5 10 2 9" xfId="7682"/>
    <cellStyle name="40% - Accent5 10 2 9 2" xfId="30457"/>
    <cellStyle name="40% - Accent5 10 20" xfId="13258"/>
    <cellStyle name="40% - Accent5 10 20 2" xfId="36033"/>
    <cellStyle name="40% - Accent5 10 21" xfId="13914"/>
    <cellStyle name="40% - Accent5 10 21 2" xfId="36689"/>
    <cellStyle name="40% - Accent5 10 22" xfId="14570"/>
    <cellStyle name="40% - Accent5 10 22 2" xfId="37345"/>
    <cellStyle name="40% - Accent5 10 23" xfId="15226"/>
    <cellStyle name="40% - Accent5 10 23 2" xfId="38001"/>
    <cellStyle name="40% - Accent5 10 24" xfId="15882"/>
    <cellStyle name="40% - Accent5 10 24 2" xfId="38657"/>
    <cellStyle name="40% - Accent5 10 25" xfId="16538"/>
    <cellStyle name="40% - Accent5 10 25 2" xfId="39313"/>
    <cellStyle name="40% - Accent5 10 26" xfId="17194"/>
    <cellStyle name="40% - Accent5 10 26 2" xfId="39969"/>
    <cellStyle name="40% - Accent5 10 27" xfId="17850"/>
    <cellStyle name="40% - Accent5 10 27 2" xfId="40625"/>
    <cellStyle name="40% - Accent5 10 28" xfId="18506"/>
    <cellStyle name="40% - Accent5 10 28 2" xfId="41281"/>
    <cellStyle name="40% - Accent5 10 29" xfId="19162"/>
    <cellStyle name="40% - Accent5 10 29 2" xfId="41937"/>
    <cellStyle name="40% - Accent5 10 3" xfId="1122"/>
    <cellStyle name="40% - Accent5 10 3 2" xfId="2762"/>
    <cellStyle name="40% - Accent5 10 3 2 2" xfId="25537"/>
    <cellStyle name="40% - Accent5 10 3 3" xfId="23897"/>
    <cellStyle name="40% - Accent5 10 30" xfId="19818"/>
    <cellStyle name="40% - Accent5 10 30 2" xfId="42593"/>
    <cellStyle name="40% - Accent5 10 31" xfId="20474"/>
    <cellStyle name="40% - Accent5 10 31 2" xfId="43249"/>
    <cellStyle name="40% - Accent5 10 32" xfId="21130"/>
    <cellStyle name="40% - Accent5 10 32 2" xfId="43905"/>
    <cellStyle name="40% - Accent5 10 33" xfId="21786"/>
    <cellStyle name="40% - Accent5 10 33 2" xfId="44561"/>
    <cellStyle name="40% - Accent5 10 34" xfId="22442"/>
    <cellStyle name="40% - Accent5 10 34 2" xfId="45217"/>
    <cellStyle name="40% - Accent5 10 35" xfId="23241"/>
    <cellStyle name="40% - Accent5 10 4" xfId="1778"/>
    <cellStyle name="40% - Accent5 10 4 2" xfId="3418"/>
    <cellStyle name="40% - Accent5 10 4 2 2" xfId="26193"/>
    <cellStyle name="40% - Accent5 10 4 3" xfId="24553"/>
    <cellStyle name="40% - Accent5 10 5" xfId="4074"/>
    <cellStyle name="40% - Accent5 10 5 2" xfId="26849"/>
    <cellStyle name="40% - Accent5 10 6" xfId="4730"/>
    <cellStyle name="40% - Accent5 10 6 2" xfId="27505"/>
    <cellStyle name="40% - Accent5 10 7" xfId="5386"/>
    <cellStyle name="40% - Accent5 10 7 2" xfId="28161"/>
    <cellStyle name="40% - Accent5 10 8" xfId="6042"/>
    <cellStyle name="40% - Accent5 10 8 2" xfId="28817"/>
    <cellStyle name="40% - Accent5 10 9" xfId="2434"/>
    <cellStyle name="40% - Accent5 10 9 2" xfId="25209"/>
    <cellStyle name="40% - Accent5 11" xfId="609"/>
    <cellStyle name="40% - Accent5 11 10" xfId="8153"/>
    <cellStyle name="40% - Accent5 11 10 2" xfId="30928"/>
    <cellStyle name="40% - Accent5 11 11" xfId="8809"/>
    <cellStyle name="40% - Accent5 11 11 2" xfId="31584"/>
    <cellStyle name="40% - Accent5 11 12" xfId="9465"/>
    <cellStyle name="40% - Accent5 11 12 2" xfId="32240"/>
    <cellStyle name="40% - Accent5 11 13" xfId="10121"/>
    <cellStyle name="40% - Accent5 11 13 2" xfId="32896"/>
    <cellStyle name="40% - Accent5 11 14" xfId="10777"/>
    <cellStyle name="40% - Accent5 11 14 2" xfId="33552"/>
    <cellStyle name="40% - Accent5 11 15" xfId="11433"/>
    <cellStyle name="40% - Accent5 11 15 2" xfId="34208"/>
    <cellStyle name="40% - Accent5 11 16" xfId="12089"/>
    <cellStyle name="40% - Accent5 11 16 2" xfId="34864"/>
    <cellStyle name="40% - Accent5 11 17" xfId="12745"/>
    <cellStyle name="40% - Accent5 11 17 2" xfId="35520"/>
    <cellStyle name="40% - Accent5 11 18" xfId="13401"/>
    <cellStyle name="40% - Accent5 11 18 2" xfId="36176"/>
    <cellStyle name="40% - Accent5 11 19" xfId="14057"/>
    <cellStyle name="40% - Accent5 11 19 2" xfId="36832"/>
    <cellStyle name="40% - Accent5 11 2" xfId="1265"/>
    <cellStyle name="40% - Accent5 11 2 2" xfId="3561"/>
    <cellStyle name="40% - Accent5 11 2 2 2" xfId="26336"/>
    <cellStyle name="40% - Accent5 11 2 3" xfId="24040"/>
    <cellStyle name="40% - Accent5 11 20" xfId="14713"/>
    <cellStyle name="40% - Accent5 11 20 2" xfId="37488"/>
    <cellStyle name="40% - Accent5 11 21" xfId="15369"/>
    <cellStyle name="40% - Accent5 11 21 2" xfId="38144"/>
    <cellStyle name="40% - Accent5 11 22" xfId="16025"/>
    <cellStyle name="40% - Accent5 11 22 2" xfId="38800"/>
    <cellStyle name="40% - Accent5 11 23" xfId="16681"/>
    <cellStyle name="40% - Accent5 11 23 2" xfId="39456"/>
    <cellStyle name="40% - Accent5 11 24" xfId="17337"/>
    <cellStyle name="40% - Accent5 11 24 2" xfId="40112"/>
    <cellStyle name="40% - Accent5 11 25" xfId="17993"/>
    <cellStyle name="40% - Accent5 11 25 2" xfId="40768"/>
    <cellStyle name="40% - Accent5 11 26" xfId="18649"/>
    <cellStyle name="40% - Accent5 11 26 2" xfId="41424"/>
    <cellStyle name="40% - Accent5 11 27" xfId="19305"/>
    <cellStyle name="40% - Accent5 11 27 2" xfId="42080"/>
    <cellStyle name="40% - Accent5 11 28" xfId="19961"/>
    <cellStyle name="40% - Accent5 11 28 2" xfId="42736"/>
    <cellStyle name="40% - Accent5 11 29" xfId="20617"/>
    <cellStyle name="40% - Accent5 11 29 2" xfId="43392"/>
    <cellStyle name="40% - Accent5 11 3" xfId="1921"/>
    <cellStyle name="40% - Accent5 11 3 2" xfId="4217"/>
    <cellStyle name="40% - Accent5 11 3 2 2" xfId="26992"/>
    <cellStyle name="40% - Accent5 11 3 3" xfId="24696"/>
    <cellStyle name="40% - Accent5 11 30" xfId="21273"/>
    <cellStyle name="40% - Accent5 11 30 2" xfId="44048"/>
    <cellStyle name="40% - Accent5 11 31" xfId="21929"/>
    <cellStyle name="40% - Accent5 11 31 2" xfId="44704"/>
    <cellStyle name="40% - Accent5 11 32" xfId="22585"/>
    <cellStyle name="40% - Accent5 11 32 2" xfId="45360"/>
    <cellStyle name="40% - Accent5 11 33" xfId="23384"/>
    <cellStyle name="40% - Accent5 11 4" xfId="4873"/>
    <cellStyle name="40% - Accent5 11 4 2" xfId="27648"/>
    <cellStyle name="40% - Accent5 11 5" xfId="5529"/>
    <cellStyle name="40% - Accent5 11 5 2" xfId="28304"/>
    <cellStyle name="40% - Accent5 11 6" xfId="6185"/>
    <cellStyle name="40% - Accent5 11 6 2" xfId="28960"/>
    <cellStyle name="40% - Accent5 11 7" xfId="2905"/>
    <cellStyle name="40% - Accent5 11 7 2" xfId="25680"/>
    <cellStyle name="40% - Accent5 11 8" xfId="6841"/>
    <cellStyle name="40% - Accent5 11 8 2" xfId="29616"/>
    <cellStyle name="40% - Accent5 11 9" xfId="7497"/>
    <cellStyle name="40% - Accent5 11 9 2" xfId="30272"/>
    <cellStyle name="40% - Accent5 12" xfId="282"/>
    <cellStyle name="40% - Accent5 12 2" xfId="2577"/>
    <cellStyle name="40% - Accent5 12 2 2" xfId="25352"/>
    <cellStyle name="40% - Accent5 12 3" xfId="23056"/>
    <cellStyle name="40% - Accent5 13" xfId="937"/>
    <cellStyle name="40% - Accent5 13 2" xfId="3233"/>
    <cellStyle name="40% - Accent5 13 2 2" xfId="26008"/>
    <cellStyle name="40% - Accent5 13 3" xfId="23712"/>
    <cellStyle name="40% - Accent5 14" xfId="1593"/>
    <cellStyle name="40% - Accent5 14 2" xfId="3889"/>
    <cellStyle name="40% - Accent5 14 2 2" xfId="26664"/>
    <cellStyle name="40% - Accent5 14 3" xfId="24368"/>
    <cellStyle name="40% - Accent5 15" xfId="4545"/>
    <cellStyle name="40% - Accent5 15 2" xfId="27320"/>
    <cellStyle name="40% - Accent5 16" xfId="5201"/>
    <cellStyle name="40% - Accent5 16 2" xfId="27976"/>
    <cellStyle name="40% - Accent5 17" xfId="5857"/>
    <cellStyle name="40% - Accent5 17 2" xfId="28632"/>
    <cellStyle name="40% - Accent5 18" xfId="2249"/>
    <cellStyle name="40% - Accent5 18 2" xfId="25024"/>
    <cellStyle name="40% - Accent5 19" xfId="6513"/>
    <cellStyle name="40% - Accent5 19 2" xfId="29288"/>
    <cellStyle name="40% - Accent5 2" xfId="77"/>
    <cellStyle name="40% - Accent5 2 10" xfId="5873"/>
    <cellStyle name="40% - Accent5 2 10 2" xfId="28648"/>
    <cellStyle name="40% - Accent5 2 11" xfId="2265"/>
    <cellStyle name="40% - Accent5 2 11 2" xfId="25040"/>
    <cellStyle name="40% - Accent5 2 12" xfId="6529"/>
    <cellStyle name="40% - Accent5 2 12 2" xfId="29304"/>
    <cellStyle name="40% - Accent5 2 13" xfId="7185"/>
    <cellStyle name="40% - Accent5 2 13 2" xfId="29960"/>
    <cellStyle name="40% - Accent5 2 14" xfId="7841"/>
    <cellStyle name="40% - Accent5 2 14 2" xfId="30616"/>
    <cellStyle name="40% - Accent5 2 15" xfId="8497"/>
    <cellStyle name="40% - Accent5 2 15 2" xfId="31272"/>
    <cellStyle name="40% - Accent5 2 16" xfId="9153"/>
    <cellStyle name="40% - Accent5 2 16 2" xfId="31928"/>
    <cellStyle name="40% - Accent5 2 17" xfId="9809"/>
    <cellStyle name="40% - Accent5 2 17 2" xfId="32584"/>
    <cellStyle name="40% - Accent5 2 18" xfId="10465"/>
    <cellStyle name="40% - Accent5 2 18 2" xfId="33240"/>
    <cellStyle name="40% - Accent5 2 19" xfId="11121"/>
    <cellStyle name="40% - Accent5 2 19 2" xfId="33896"/>
    <cellStyle name="40% - Accent5 2 2" xfId="153"/>
    <cellStyle name="40% - Accent5 2 2 10" xfId="2351"/>
    <cellStyle name="40% - Accent5 2 2 10 2" xfId="25126"/>
    <cellStyle name="40% - Accent5 2 2 11" xfId="6615"/>
    <cellStyle name="40% - Accent5 2 2 11 2" xfId="29390"/>
    <cellStyle name="40% - Accent5 2 2 12" xfId="7271"/>
    <cellStyle name="40% - Accent5 2 2 12 2" xfId="30046"/>
    <cellStyle name="40% - Accent5 2 2 13" xfId="7927"/>
    <cellStyle name="40% - Accent5 2 2 13 2" xfId="30702"/>
    <cellStyle name="40% - Accent5 2 2 14" xfId="8583"/>
    <cellStyle name="40% - Accent5 2 2 14 2" xfId="31358"/>
    <cellStyle name="40% - Accent5 2 2 15" xfId="9239"/>
    <cellStyle name="40% - Accent5 2 2 15 2" xfId="32014"/>
    <cellStyle name="40% - Accent5 2 2 16" xfId="9895"/>
    <cellStyle name="40% - Accent5 2 2 16 2" xfId="32670"/>
    <cellStyle name="40% - Accent5 2 2 17" xfId="10551"/>
    <cellStyle name="40% - Accent5 2 2 17 2" xfId="33326"/>
    <cellStyle name="40% - Accent5 2 2 18" xfId="11207"/>
    <cellStyle name="40% - Accent5 2 2 18 2" xfId="33982"/>
    <cellStyle name="40% - Accent5 2 2 19" xfId="11863"/>
    <cellStyle name="40% - Accent5 2 2 19 2" xfId="34638"/>
    <cellStyle name="40% - Accent5 2 2 2" xfId="567"/>
    <cellStyle name="40% - Accent5 2 2 2 10" xfId="6800"/>
    <cellStyle name="40% - Accent5 2 2 2 10 2" xfId="29575"/>
    <cellStyle name="40% - Accent5 2 2 2 11" xfId="7456"/>
    <cellStyle name="40% - Accent5 2 2 2 11 2" xfId="30231"/>
    <cellStyle name="40% - Accent5 2 2 2 12" xfId="8112"/>
    <cellStyle name="40% - Accent5 2 2 2 12 2" xfId="30887"/>
    <cellStyle name="40% - Accent5 2 2 2 13" xfId="8768"/>
    <cellStyle name="40% - Accent5 2 2 2 13 2" xfId="31543"/>
    <cellStyle name="40% - Accent5 2 2 2 14" xfId="9424"/>
    <cellStyle name="40% - Accent5 2 2 2 14 2" xfId="32199"/>
    <cellStyle name="40% - Accent5 2 2 2 15" xfId="10080"/>
    <cellStyle name="40% - Accent5 2 2 2 15 2" xfId="32855"/>
    <cellStyle name="40% - Accent5 2 2 2 16" xfId="10736"/>
    <cellStyle name="40% - Accent5 2 2 2 16 2" xfId="33511"/>
    <cellStyle name="40% - Accent5 2 2 2 17" xfId="11392"/>
    <cellStyle name="40% - Accent5 2 2 2 17 2" xfId="34167"/>
    <cellStyle name="40% - Accent5 2 2 2 18" xfId="12048"/>
    <cellStyle name="40% - Accent5 2 2 2 18 2" xfId="34823"/>
    <cellStyle name="40% - Accent5 2 2 2 19" xfId="12704"/>
    <cellStyle name="40% - Accent5 2 2 2 19 2" xfId="35479"/>
    <cellStyle name="40% - Accent5 2 2 2 2" xfId="896"/>
    <cellStyle name="40% - Accent5 2 2 2 2 10" xfId="8440"/>
    <cellStyle name="40% - Accent5 2 2 2 2 10 2" xfId="31215"/>
    <cellStyle name="40% - Accent5 2 2 2 2 11" xfId="9096"/>
    <cellStyle name="40% - Accent5 2 2 2 2 11 2" xfId="31871"/>
    <cellStyle name="40% - Accent5 2 2 2 2 12" xfId="9752"/>
    <cellStyle name="40% - Accent5 2 2 2 2 12 2" xfId="32527"/>
    <cellStyle name="40% - Accent5 2 2 2 2 13" xfId="10408"/>
    <cellStyle name="40% - Accent5 2 2 2 2 13 2" xfId="33183"/>
    <cellStyle name="40% - Accent5 2 2 2 2 14" xfId="11064"/>
    <cellStyle name="40% - Accent5 2 2 2 2 14 2" xfId="33839"/>
    <cellStyle name="40% - Accent5 2 2 2 2 15" xfId="11720"/>
    <cellStyle name="40% - Accent5 2 2 2 2 15 2" xfId="34495"/>
    <cellStyle name="40% - Accent5 2 2 2 2 16" xfId="12376"/>
    <cellStyle name="40% - Accent5 2 2 2 2 16 2" xfId="35151"/>
    <cellStyle name="40% - Accent5 2 2 2 2 17" xfId="13032"/>
    <cellStyle name="40% - Accent5 2 2 2 2 17 2" xfId="35807"/>
    <cellStyle name="40% - Accent5 2 2 2 2 18" xfId="13688"/>
    <cellStyle name="40% - Accent5 2 2 2 2 18 2" xfId="36463"/>
    <cellStyle name="40% - Accent5 2 2 2 2 19" xfId="14344"/>
    <cellStyle name="40% - Accent5 2 2 2 2 19 2" xfId="37119"/>
    <cellStyle name="40% - Accent5 2 2 2 2 2" xfId="1552"/>
    <cellStyle name="40% - Accent5 2 2 2 2 2 2" xfId="3848"/>
    <cellStyle name="40% - Accent5 2 2 2 2 2 2 2" xfId="26623"/>
    <cellStyle name="40% - Accent5 2 2 2 2 2 3" xfId="24327"/>
    <cellStyle name="40% - Accent5 2 2 2 2 20" xfId="15000"/>
    <cellStyle name="40% - Accent5 2 2 2 2 20 2" xfId="37775"/>
    <cellStyle name="40% - Accent5 2 2 2 2 21" xfId="15656"/>
    <cellStyle name="40% - Accent5 2 2 2 2 21 2" xfId="38431"/>
    <cellStyle name="40% - Accent5 2 2 2 2 22" xfId="16312"/>
    <cellStyle name="40% - Accent5 2 2 2 2 22 2" xfId="39087"/>
    <cellStyle name="40% - Accent5 2 2 2 2 23" xfId="16968"/>
    <cellStyle name="40% - Accent5 2 2 2 2 23 2" xfId="39743"/>
    <cellStyle name="40% - Accent5 2 2 2 2 24" xfId="17624"/>
    <cellStyle name="40% - Accent5 2 2 2 2 24 2" xfId="40399"/>
    <cellStyle name="40% - Accent5 2 2 2 2 25" xfId="18280"/>
    <cellStyle name="40% - Accent5 2 2 2 2 25 2" xfId="41055"/>
    <cellStyle name="40% - Accent5 2 2 2 2 26" xfId="18936"/>
    <cellStyle name="40% - Accent5 2 2 2 2 26 2" xfId="41711"/>
    <cellStyle name="40% - Accent5 2 2 2 2 27" xfId="19592"/>
    <cellStyle name="40% - Accent5 2 2 2 2 27 2" xfId="42367"/>
    <cellStyle name="40% - Accent5 2 2 2 2 28" xfId="20248"/>
    <cellStyle name="40% - Accent5 2 2 2 2 28 2" xfId="43023"/>
    <cellStyle name="40% - Accent5 2 2 2 2 29" xfId="20904"/>
    <cellStyle name="40% - Accent5 2 2 2 2 29 2" xfId="43679"/>
    <cellStyle name="40% - Accent5 2 2 2 2 3" xfId="2208"/>
    <cellStyle name="40% - Accent5 2 2 2 2 3 2" xfId="4504"/>
    <cellStyle name="40% - Accent5 2 2 2 2 3 2 2" xfId="27279"/>
    <cellStyle name="40% - Accent5 2 2 2 2 3 3" xfId="24983"/>
    <cellStyle name="40% - Accent5 2 2 2 2 30" xfId="21560"/>
    <cellStyle name="40% - Accent5 2 2 2 2 30 2" xfId="44335"/>
    <cellStyle name="40% - Accent5 2 2 2 2 31" xfId="22216"/>
    <cellStyle name="40% - Accent5 2 2 2 2 31 2" xfId="44991"/>
    <cellStyle name="40% - Accent5 2 2 2 2 32" xfId="22872"/>
    <cellStyle name="40% - Accent5 2 2 2 2 32 2" xfId="45647"/>
    <cellStyle name="40% - Accent5 2 2 2 2 33" xfId="23671"/>
    <cellStyle name="40% - Accent5 2 2 2 2 4" xfId="5160"/>
    <cellStyle name="40% - Accent5 2 2 2 2 4 2" xfId="27935"/>
    <cellStyle name="40% - Accent5 2 2 2 2 5" xfId="5816"/>
    <cellStyle name="40% - Accent5 2 2 2 2 5 2" xfId="28591"/>
    <cellStyle name="40% - Accent5 2 2 2 2 6" xfId="6472"/>
    <cellStyle name="40% - Accent5 2 2 2 2 6 2" xfId="29247"/>
    <cellStyle name="40% - Accent5 2 2 2 2 7" xfId="3192"/>
    <cellStyle name="40% - Accent5 2 2 2 2 7 2" xfId="25967"/>
    <cellStyle name="40% - Accent5 2 2 2 2 8" xfId="7128"/>
    <cellStyle name="40% - Accent5 2 2 2 2 8 2" xfId="29903"/>
    <cellStyle name="40% - Accent5 2 2 2 2 9" xfId="7784"/>
    <cellStyle name="40% - Accent5 2 2 2 2 9 2" xfId="30559"/>
    <cellStyle name="40% - Accent5 2 2 2 20" xfId="13360"/>
    <cellStyle name="40% - Accent5 2 2 2 20 2" xfId="36135"/>
    <cellStyle name="40% - Accent5 2 2 2 21" xfId="14016"/>
    <cellStyle name="40% - Accent5 2 2 2 21 2" xfId="36791"/>
    <cellStyle name="40% - Accent5 2 2 2 22" xfId="14672"/>
    <cellStyle name="40% - Accent5 2 2 2 22 2" xfId="37447"/>
    <cellStyle name="40% - Accent5 2 2 2 23" xfId="15328"/>
    <cellStyle name="40% - Accent5 2 2 2 23 2" xfId="38103"/>
    <cellStyle name="40% - Accent5 2 2 2 24" xfId="15984"/>
    <cellStyle name="40% - Accent5 2 2 2 24 2" xfId="38759"/>
    <cellStyle name="40% - Accent5 2 2 2 25" xfId="16640"/>
    <cellStyle name="40% - Accent5 2 2 2 25 2" xfId="39415"/>
    <cellStyle name="40% - Accent5 2 2 2 26" xfId="17296"/>
    <cellStyle name="40% - Accent5 2 2 2 26 2" xfId="40071"/>
    <cellStyle name="40% - Accent5 2 2 2 27" xfId="17952"/>
    <cellStyle name="40% - Accent5 2 2 2 27 2" xfId="40727"/>
    <cellStyle name="40% - Accent5 2 2 2 28" xfId="18608"/>
    <cellStyle name="40% - Accent5 2 2 2 28 2" xfId="41383"/>
    <cellStyle name="40% - Accent5 2 2 2 29" xfId="19264"/>
    <cellStyle name="40% - Accent5 2 2 2 29 2" xfId="42039"/>
    <cellStyle name="40% - Accent5 2 2 2 3" xfId="1224"/>
    <cellStyle name="40% - Accent5 2 2 2 3 2" xfId="2864"/>
    <cellStyle name="40% - Accent5 2 2 2 3 2 2" xfId="25639"/>
    <cellStyle name="40% - Accent5 2 2 2 3 3" xfId="23999"/>
    <cellStyle name="40% - Accent5 2 2 2 30" xfId="19920"/>
    <cellStyle name="40% - Accent5 2 2 2 30 2" xfId="42695"/>
    <cellStyle name="40% - Accent5 2 2 2 31" xfId="20576"/>
    <cellStyle name="40% - Accent5 2 2 2 31 2" xfId="43351"/>
    <cellStyle name="40% - Accent5 2 2 2 32" xfId="21232"/>
    <cellStyle name="40% - Accent5 2 2 2 32 2" xfId="44007"/>
    <cellStyle name="40% - Accent5 2 2 2 33" xfId="21888"/>
    <cellStyle name="40% - Accent5 2 2 2 33 2" xfId="44663"/>
    <cellStyle name="40% - Accent5 2 2 2 34" xfId="22544"/>
    <cellStyle name="40% - Accent5 2 2 2 34 2" xfId="45319"/>
    <cellStyle name="40% - Accent5 2 2 2 35" xfId="23343"/>
    <cellStyle name="40% - Accent5 2 2 2 4" xfId="1880"/>
    <cellStyle name="40% - Accent5 2 2 2 4 2" xfId="3520"/>
    <cellStyle name="40% - Accent5 2 2 2 4 2 2" xfId="26295"/>
    <cellStyle name="40% - Accent5 2 2 2 4 3" xfId="24655"/>
    <cellStyle name="40% - Accent5 2 2 2 5" xfId="4176"/>
    <cellStyle name="40% - Accent5 2 2 2 5 2" xfId="26951"/>
    <cellStyle name="40% - Accent5 2 2 2 6" xfId="4832"/>
    <cellStyle name="40% - Accent5 2 2 2 6 2" xfId="27607"/>
    <cellStyle name="40% - Accent5 2 2 2 7" xfId="5488"/>
    <cellStyle name="40% - Accent5 2 2 2 7 2" xfId="28263"/>
    <cellStyle name="40% - Accent5 2 2 2 8" xfId="6144"/>
    <cellStyle name="40% - Accent5 2 2 2 8 2" xfId="28919"/>
    <cellStyle name="40% - Accent5 2 2 2 9" xfId="2536"/>
    <cellStyle name="40% - Accent5 2 2 2 9 2" xfId="25311"/>
    <cellStyle name="40% - Accent5 2 2 20" xfId="12519"/>
    <cellStyle name="40% - Accent5 2 2 20 2" xfId="35294"/>
    <cellStyle name="40% - Accent5 2 2 21" xfId="13175"/>
    <cellStyle name="40% - Accent5 2 2 21 2" xfId="35950"/>
    <cellStyle name="40% - Accent5 2 2 22" xfId="13831"/>
    <cellStyle name="40% - Accent5 2 2 22 2" xfId="36606"/>
    <cellStyle name="40% - Accent5 2 2 23" xfId="14487"/>
    <cellStyle name="40% - Accent5 2 2 23 2" xfId="37262"/>
    <cellStyle name="40% - Accent5 2 2 24" xfId="15143"/>
    <cellStyle name="40% - Accent5 2 2 24 2" xfId="37918"/>
    <cellStyle name="40% - Accent5 2 2 25" xfId="15799"/>
    <cellStyle name="40% - Accent5 2 2 25 2" xfId="38574"/>
    <cellStyle name="40% - Accent5 2 2 26" xfId="16455"/>
    <cellStyle name="40% - Accent5 2 2 26 2" xfId="39230"/>
    <cellStyle name="40% - Accent5 2 2 27" xfId="17111"/>
    <cellStyle name="40% - Accent5 2 2 27 2" xfId="39886"/>
    <cellStyle name="40% - Accent5 2 2 28" xfId="17767"/>
    <cellStyle name="40% - Accent5 2 2 28 2" xfId="40542"/>
    <cellStyle name="40% - Accent5 2 2 29" xfId="18423"/>
    <cellStyle name="40% - Accent5 2 2 29 2" xfId="41198"/>
    <cellStyle name="40% - Accent5 2 2 3" xfId="711"/>
    <cellStyle name="40% - Accent5 2 2 3 10" xfId="8255"/>
    <cellStyle name="40% - Accent5 2 2 3 10 2" xfId="31030"/>
    <cellStyle name="40% - Accent5 2 2 3 11" xfId="8911"/>
    <cellStyle name="40% - Accent5 2 2 3 11 2" xfId="31686"/>
    <cellStyle name="40% - Accent5 2 2 3 12" xfId="9567"/>
    <cellStyle name="40% - Accent5 2 2 3 12 2" xfId="32342"/>
    <cellStyle name="40% - Accent5 2 2 3 13" xfId="10223"/>
    <cellStyle name="40% - Accent5 2 2 3 13 2" xfId="32998"/>
    <cellStyle name="40% - Accent5 2 2 3 14" xfId="10879"/>
    <cellStyle name="40% - Accent5 2 2 3 14 2" xfId="33654"/>
    <cellStyle name="40% - Accent5 2 2 3 15" xfId="11535"/>
    <cellStyle name="40% - Accent5 2 2 3 15 2" xfId="34310"/>
    <cellStyle name="40% - Accent5 2 2 3 16" xfId="12191"/>
    <cellStyle name="40% - Accent5 2 2 3 16 2" xfId="34966"/>
    <cellStyle name="40% - Accent5 2 2 3 17" xfId="12847"/>
    <cellStyle name="40% - Accent5 2 2 3 17 2" xfId="35622"/>
    <cellStyle name="40% - Accent5 2 2 3 18" xfId="13503"/>
    <cellStyle name="40% - Accent5 2 2 3 18 2" xfId="36278"/>
    <cellStyle name="40% - Accent5 2 2 3 19" xfId="14159"/>
    <cellStyle name="40% - Accent5 2 2 3 19 2" xfId="36934"/>
    <cellStyle name="40% - Accent5 2 2 3 2" xfId="1367"/>
    <cellStyle name="40% - Accent5 2 2 3 2 2" xfId="3663"/>
    <cellStyle name="40% - Accent5 2 2 3 2 2 2" xfId="26438"/>
    <cellStyle name="40% - Accent5 2 2 3 2 3" xfId="24142"/>
    <cellStyle name="40% - Accent5 2 2 3 20" xfId="14815"/>
    <cellStyle name="40% - Accent5 2 2 3 20 2" xfId="37590"/>
    <cellStyle name="40% - Accent5 2 2 3 21" xfId="15471"/>
    <cellStyle name="40% - Accent5 2 2 3 21 2" xfId="38246"/>
    <cellStyle name="40% - Accent5 2 2 3 22" xfId="16127"/>
    <cellStyle name="40% - Accent5 2 2 3 22 2" xfId="38902"/>
    <cellStyle name="40% - Accent5 2 2 3 23" xfId="16783"/>
    <cellStyle name="40% - Accent5 2 2 3 23 2" xfId="39558"/>
    <cellStyle name="40% - Accent5 2 2 3 24" xfId="17439"/>
    <cellStyle name="40% - Accent5 2 2 3 24 2" xfId="40214"/>
    <cellStyle name="40% - Accent5 2 2 3 25" xfId="18095"/>
    <cellStyle name="40% - Accent5 2 2 3 25 2" xfId="40870"/>
    <cellStyle name="40% - Accent5 2 2 3 26" xfId="18751"/>
    <cellStyle name="40% - Accent5 2 2 3 26 2" xfId="41526"/>
    <cellStyle name="40% - Accent5 2 2 3 27" xfId="19407"/>
    <cellStyle name="40% - Accent5 2 2 3 27 2" xfId="42182"/>
    <cellStyle name="40% - Accent5 2 2 3 28" xfId="20063"/>
    <cellStyle name="40% - Accent5 2 2 3 28 2" xfId="42838"/>
    <cellStyle name="40% - Accent5 2 2 3 29" xfId="20719"/>
    <cellStyle name="40% - Accent5 2 2 3 29 2" xfId="43494"/>
    <cellStyle name="40% - Accent5 2 2 3 3" xfId="2023"/>
    <cellStyle name="40% - Accent5 2 2 3 3 2" xfId="4319"/>
    <cellStyle name="40% - Accent5 2 2 3 3 2 2" xfId="27094"/>
    <cellStyle name="40% - Accent5 2 2 3 3 3" xfId="24798"/>
    <cellStyle name="40% - Accent5 2 2 3 30" xfId="21375"/>
    <cellStyle name="40% - Accent5 2 2 3 30 2" xfId="44150"/>
    <cellStyle name="40% - Accent5 2 2 3 31" xfId="22031"/>
    <cellStyle name="40% - Accent5 2 2 3 31 2" xfId="44806"/>
    <cellStyle name="40% - Accent5 2 2 3 32" xfId="22687"/>
    <cellStyle name="40% - Accent5 2 2 3 32 2" xfId="45462"/>
    <cellStyle name="40% - Accent5 2 2 3 33" xfId="23486"/>
    <cellStyle name="40% - Accent5 2 2 3 4" xfId="4975"/>
    <cellStyle name="40% - Accent5 2 2 3 4 2" xfId="27750"/>
    <cellStyle name="40% - Accent5 2 2 3 5" xfId="5631"/>
    <cellStyle name="40% - Accent5 2 2 3 5 2" xfId="28406"/>
    <cellStyle name="40% - Accent5 2 2 3 6" xfId="6287"/>
    <cellStyle name="40% - Accent5 2 2 3 6 2" xfId="29062"/>
    <cellStyle name="40% - Accent5 2 2 3 7" xfId="3007"/>
    <cellStyle name="40% - Accent5 2 2 3 7 2" xfId="25782"/>
    <cellStyle name="40% - Accent5 2 2 3 8" xfId="6943"/>
    <cellStyle name="40% - Accent5 2 2 3 8 2" xfId="29718"/>
    <cellStyle name="40% - Accent5 2 2 3 9" xfId="7599"/>
    <cellStyle name="40% - Accent5 2 2 3 9 2" xfId="30374"/>
    <cellStyle name="40% - Accent5 2 2 30" xfId="19079"/>
    <cellStyle name="40% - Accent5 2 2 30 2" xfId="41854"/>
    <cellStyle name="40% - Accent5 2 2 31" xfId="19735"/>
    <cellStyle name="40% - Accent5 2 2 31 2" xfId="42510"/>
    <cellStyle name="40% - Accent5 2 2 32" xfId="20391"/>
    <cellStyle name="40% - Accent5 2 2 32 2" xfId="43166"/>
    <cellStyle name="40% - Accent5 2 2 33" xfId="21047"/>
    <cellStyle name="40% - Accent5 2 2 33 2" xfId="43822"/>
    <cellStyle name="40% - Accent5 2 2 34" xfId="21703"/>
    <cellStyle name="40% - Accent5 2 2 34 2" xfId="44478"/>
    <cellStyle name="40% - Accent5 2 2 35" xfId="22359"/>
    <cellStyle name="40% - Accent5 2 2 35 2" xfId="45134"/>
    <cellStyle name="40% - Accent5 2 2 36" xfId="23015"/>
    <cellStyle name="40% - Accent5 2 2 4" xfId="384"/>
    <cellStyle name="40% - Accent5 2 2 4 2" xfId="2679"/>
    <cellStyle name="40% - Accent5 2 2 4 2 2" xfId="25454"/>
    <cellStyle name="40% - Accent5 2 2 4 3" xfId="23158"/>
    <cellStyle name="40% - Accent5 2 2 5" xfId="1039"/>
    <cellStyle name="40% - Accent5 2 2 5 2" xfId="3335"/>
    <cellStyle name="40% - Accent5 2 2 5 2 2" xfId="26110"/>
    <cellStyle name="40% - Accent5 2 2 5 3" xfId="23814"/>
    <cellStyle name="40% - Accent5 2 2 6" xfId="1695"/>
    <cellStyle name="40% - Accent5 2 2 6 2" xfId="3991"/>
    <cellStyle name="40% - Accent5 2 2 6 2 2" xfId="26766"/>
    <cellStyle name="40% - Accent5 2 2 6 3" xfId="24470"/>
    <cellStyle name="40% - Accent5 2 2 7" xfId="4647"/>
    <cellStyle name="40% - Accent5 2 2 7 2" xfId="27422"/>
    <cellStyle name="40% - Accent5 2 2 8" xfId="5303"/>
    <cellStyle name="40% - Accent5 2 2 8 2" xfId="28078"/>
    <cellStyle name="40% - Accent5 2 2 9" xfId="5959"/>
    <cellStyle name="40% - Accent5 2 2 9 2" xfId="28734"/>
    <cellStyle name="40% - Accent5 2 20" xfId="11777"/>
    <cellStyle name="40% - Accent5 2 20 2" xfId="34552"/>
    <cellStyle name="40% - Accent5 2 21" xfId="12433"/>
    <cellStyle name="40% - Accent5 2 21 2" xfId="35208"/>
    <cellStyle name="40% - Accent5 2 22" xfId="13089"/>
    <cellStyle name="40% - Accent5 2 22 2" xfId="35864"/>
    <cellStyle name="40% - Accent5 2 23" xfId="13745"/>
    <cellStyle name="40% - Accent5 2 23 2" xfId="36520"/>
    <cellStyle name="40% - Accent5 2 24" xfId="14401"/>
    <cellStyle name="40% - Accent5 2 24 2" xfId="37176"/>
    <cellStyle name="40% - Accent5 2 25" xfId="15057"/>
    <cellStyle name="40% - Accent5 2 25 2" xfId="37832"/>
    <cellStyle name="40% - Accent5 2 26" xfId="15713"/>
    <cellStyle name="40% - Accent5 2 26 2" xfId="38488"/>
    <cellStyle name="40% - Accent5 2 27" xfId="16369"/>
    <cellStyle name="40% - Accent5 2 27 2" xfId="39144"/>
    <cellStyle name="40% - Accent5 2 28" xfId="17025"/>
    <cellStyle name="40% - Accent5 2 28 2" xfId="39800"/>
    <cellStyle name="40% - Accent5 2 29" xfId="17681"/>
    <cellStyle name="40% - Accent5 2 29 2" xfId="40456"/>
    <cellStyle name="40% - Accent5 2 3" xfId="483"/>
    <cellStyle name="40% - Accent5 2 3 10" xfId="6714"/>
    <cellStyle name="40% - Accent5 2 3 10 2" xfId="29489"/>
    <cellStyle name="40% - Accent5 2 3 11" xfId="7370"/>
    <cellStyle name="40% - Accent5 2 3 11 2" xfId="30145"/>
    <cellStyle name="40% - Accent5 2 3 12" xfId="8026"/>
    <cellStyle name="40% - Accent5 2 3 12 2" xfId="30801"/>
    <cellStyle name="40% - Accent5 2 3 13" xfId="8682"/>
    <cellStyle name="40% - Accent5 2 3 13 2" xfId="31457"/>
    <cellStyle name="40% - Accent5 2 3 14" xfId="9338"/>
    <cellStyle name="40% - Accent5 2 3 14 2" xfId="32113"/>
    <cellStyle name="40% - Accent5 2 3 15" xfId="9994"/>
    <cellStyle name="40% - Accent5 2 3 15 2" xfId="32769"/>
    <cellStyle name="40% - Accent5 2 3 16" xfId="10650"/>
    <cellStyle name="40% - Accent5 2 3 16 2" xfId="33425"/>
    <cellStyle name="40% - Accent5 2 3 17" xfId="11306"/>
    <cellStyle name="40% - Accent5 2 3 17 2" xfId="34081"/>
    <cellStyle name="40% - Accent5 2 3 18" xfId="11962"/>
    <cellStyle name="40% - Accent5 2 3 18 2" xfId="34737"/>
    <cellStyle name="40% - Accent5 2 3 19" xfId="12618"/>
    <cellStyle name="40% - Accent5 2 3 19 2" xfId="35393"/>
    <cellStyle name="40% - Accent5 2 3 2" xfId="810"/>
    <cellStyle name="40% - Accent5 2 3 2 10" xfId="8354"/>
    <cellStyle name="40% - Accent5 2 3 2 10 2" xfId="31129"/>
    <cellStyle name="40% - Accent5 2 3 2 11" xfId="9010"/>
    <cellStyle name="40% - Accent5 2 3 2 11 2" xfId="31785"/>
    <cellStyle name="40% - Accent5 2 3 2 12" xfId="9666"/>
    <cellStyle name="40% - Accent5 2 3 2 12 2" xfId="32441"/>
    <cellStyle name="40% - Accent5 2 3 2 13" xfId="10322"/>
    <cellStyle name="40% - Accent5 2 3 2 13 2" xfId="33097"/>
    <cellStyle name="40% - Accent5 2 3 2 14" xfId="10978"/>
    <cellStyle name="40% - Accent5 2 3 2 14 2" xfId="33753"/>
    <cellStyle name="40% - Accent5 2 3 2 15" xfId="11634"/>
    <cellStyle name="40% - Accent5 2 3 2 15 2" xfId="34409"/>
    <cellStyle name="40% - Accent5 2 3 2 16" xfId="12290"/>
    <cellStyle name="40% - Accent5 2 3 2 16 2" xfId="35065"/>
    <cellStyle name="40% - Accent5 2 3 2 17" xfId="12946"/>
    <cellStyle name="40% - Accent5 2 3 2 17 2" xfId="35721"/>
    <cellStyle name="40% - Accent5 2 3 2 18" xfId="13602"/>
    <cellStyle name="40% - Accent5 2 3 2 18 2" xfId="36377"/>
    <cellStyle name="40% - Accent5 2 3 2 19" xfId="14258"/>
    <cellStyle name="40% - Accent5 2 3 2 19 2" xfId="37033"/>
    <cellStyle name="40% - Accent5 2 3 2 2" xfId="1466"/>
    <cellStyle name="40% - Accent5 2 3 2 2 2" xfId="3762"/>
    <cellStyle name="40% - Accent5 2 3 2 2 2 2" xfId="26537"/>
    <cellStyle name="40% - Accent5 2 3 2 2 3" xfId="24241"/>
    <cellStyle name="40% - Accent5 2 3 2 20" xfId="14914"/>
    <cellStyle name="40% - Accent5 2 3 2 20 2" xfId="37689"/>
    <cellStyle name="40% - Accent5 2 3 2 21" xfId="15570"/>
    <cellStyle name="40% - Accent5 2 3 2 21 2" xfId="38345"/>
    <cellStyle name="40% - Accent5 2 3 2 22" xfId="16226"/>
    <cellStyle name="40% - Accent5 2 3 2 22 2" xfId="39001"/>
    <cellStyle name="40% - Accent5 2 3 2 23" xfId="16882"/>
    <cellStyle name="40% - Accent5 2 3 2 23 2" xfId="39657"/>
    <cellStyle name="40% - Accent5 2 3 2 24" xfId="17538"/>
    <cellStyle name="40% - Accent5 2 3 2 24 2" xfId="40313"/>
    <cellStyle name="40% - Accent5 2 3 2 25" xfId="18194"/>
    <cellStyle name="40% - Accent5 2 3 2 25 2" xfId="40969"/>
    <cellStyle name="40% - Accent5 2 3 2 26" xfId="18850"/>
    <cellStyle name="40% - Accent5 2 3 2 26 2" xfId="41625"/>
    <cellStyle name="40% - Accent5 2 3 2 27" xfId="19506"/>
    <cellStyle name="40% - Accent5 2 3 2 27 2" xfId="42281"/>
    <cellStyle name="40% - Accent5 2 3 2 28" xfId="20162"/>
    <cellStyle name="40% - Accent5 2 3 2 28 2" xfId="42937"/>
    <cellStyle name="40% - Accent5 2 3 2 29" xfId="20818"/>
    <cellStyle name="40% - Accent5 2 3 2 29 2" xfId="43593"/>
    <cellStyle name="40% - Accent5 2 3 2 3" xfId="2122"/>
    <cellStyle name="40% - Accent5 2 3 2 3 2" xfId="4418"/>
    <cellStyle name="40% - Accent5 2 3 2 3 2 2" xfId="27193"/>
    <cellStyle name="40% - Accent5 2 3 2 3 3" xfId="24897"/>
    <cellStyle name="40% - Accent5 2 3 2 30" xfId="21474"/>
    <cellStyle name="40% - Accent5 2 3 2 30 2" xfId="44249"/>
    <cellStyle name="40% - Accent5 2 3 2 31" xfId="22130"/>
    <cellStyle name="40% - Accent5 2 3 2 31 2" xfId="44905"/>
    <cellStyle name="40% - Accent5 2 3 2 32" xfId="22786"/>
    <cellStyle name="40% - Accent5 2 3 2 32 2" xfId="45561"/>
    <cellStyle name="40% - Accent5 2 3 2 33" xfId="23585"/>
    <cellStyle name="40% - Accent5 2 3 2 4" xfId="5074"/>
    <cellStyle name="40% - Accent5 2 3 2 4 2" xfId="27849"/>
    <cellStyle name="40% - Accent5 2 3 2 5" xfId="5730"/>
    <cellStyle name="40% - Accent5 2 3 2 5 2" xfId="28505"/>
    <cellStyle name="40% - Accent5 2 3 2 6" xfId="6386"/>
    <cellStyle name="40% - Accent5 2 3 2 6 2" xfId="29161"/>
    <cellStyle name="40% - Accent5 2 3 2 7" xfId="3106"/>
    <cellStyle name="40% - Accent5 2 3 2 7 2" xfId="25881"/>
    <cellStyle name="40% - Accent5 2 3 2 8" xfId="7042"/>
    <cellStyle name="40% - Accent5 2 3 2 8 2" xfId="29817"/>
    <cellStyle name="40% - Accent5 2 3 2 9" xfId="7698"/>
    <cellStyle name="40% - Accent5 2 3 2 9 2" xfId="30473"/>
    <cellStyle name="40% - Accent5 2 3 20" xfId="13274"/>
    <cellStyle name="40% - Accent5 2 3 20 2" xfId="36049"/>
    <cellStyle name="40% - Accent5 2 3 21" xfId="13930"/>
    <cellStyle name="40% - Accent5 2 3 21 2" xfId="36705"/>
    <cellStyle name="40% - Accent5 2 3 22" xfId="14586"/>
    <cellStyle name="40% - Accent5 2 3 22 2" xfId="37361"/>
    <cellStyle name="40% - Accent5 2 3 23" xfId="15242"/>
    <cellStyle name="40% - Accent5 2 3 23 2" xfId="38017"/>
    <cellStyle name="40% - Accent5 2 3 24" xfId="15898"/>
    <cellStyle name="40% - Accent5 2 3 24 2" xfId="38673"/>
    <cellStyle name="40% - Accent5 2 3 25" xfId="16554"/>
    <cellStyle name="40% - Accent5 2 3 25 2" xfId="39329"/>
    <cellStyle name="40% - Accent5 2 3 26" xfId="17210"/>
    <cellStyle name="40% - Accent5 2 3 26 2" xfId="39985"/>
    <cellStyle name="40% - Accent5 2 3 27" xfId="17866"/>
    <cellStyle name="40% - Accent5 2 3 27 2" xfId="40641"/>
    <cellStyle name="40% - Accent5 2 3 28" xfId="18522"/>
    <cellStyle name="40% - Accent5 2 3 28 2" xfId="41297"/>
    <cellStyle name="40% - Accent5 2 3 29" xfId="19178"/>
    <cellStyle name="40% - Accent5 2 3 29 2" xfId="41953"/>
    <cellStyle name="40% - Accent5 2 3 3" xfId="1138"/>
    <cellStyle name="40% - Accent5 2 3 3 2" xfId="2778"/>
    <cellStyle name="40% - Accent5 2 3 3 2 2" xfId="25553"/>
    <cellStyle name="40% - Accent5 2 3 3 3" xfId="23913"/>
    <cellStyle name="40% - Accent5 2 3 30" xfId="19834"/>
    <cellStyle name="40% - Accent5 2 3 30 2" xfId="42609"/>
    <cellStyle name="40% - Accent5 2 3 31" xfId="20490"/>
    <cellStyle name="40% - Accent5 2 3 31 2" xfId="43265"/>
    <cellStyle name="40% - Accent5 2 3 32" xfId="21146"/>
    <cellStyle name="40% - Accent5 2 3 32 2" xfId="43921"/>
    <cellStyle name="40% - Accent5 2 3 33" xfId="21802"/>
    <cellStyle name="40% - Accent5 2 3 33 2" xfId="44577"/>
    <cellStyle name="40% - Accent5 2 3 34" xfId="22458"/>
    <cellStyle name="40% - Accent5 2 3 34 2" xfId="45233"/>
    <cellStyle name="40% - Accent5 2 3 35" xfId="23257"/>
    <cellStyle name="40% - Accent5 2 3 4" xfId="1794"/>
    <cellStyle name="40% - Accent5 2 3 4 2" xfId="3434"/>
    <cellStyle name="40% - Accent5 2 3 4 2 2" xfId="26209"/>
    <cellStyle name="40% - Accent5 2 3 4 3" xfId="24569"/>
    <cellStyle name="40% - Accent5 2 3 5" xfId="4090"/>
    <cellStyle name="40% - Accent5 2 3 5 2" xfId="26865"/>
    <cellStyle name="40% - Accent5 2 3 6" xfId="4746"/>
    <cellStyle name="40% - Accent5 2 3 6 2" xfId="27521"/>
    <cellStyle name="40% - Accent5 2 3 7" xfId="5402"/>
    <cellStyle name="40% - Accent5 2 3 7 2" xfId="28177"/>
    <cellStyle name="40% - Accent5 2 3 8" xfId="6058"/>
    <cellStyle name="40% - Accent5 2 3 8 2" xfId="28833"/>
    <cellStyle name="40% - Accent5 2 3 9" xfId="2450"/>
    <cellStyle name="40% - Accent5 2 3 9 2" xfId="25225"/>
    <cellStyle name="40% - Accent5 2 30" xfId="18337"/>
    <cellStyle name="40% - Accent5 2 30 2" xfId="41112"/>
    <cellStyle name="40% - Accent5 2 31" xfId="18993"/>
    <cellStyle name="40% - Accent5 2 31 2" xfId="41768"/>
    <cellStyle name="40% - Accent5 2 32" xfId="19649"/>
    <cellStyle name="40% - Accent5 2 32 2" xfId="42424"/>
    <cellStyle name="40% - Accent5 2 33" xfId="20305"/>
    <cellStyle name="40% - Accent5 2 33 2" xfId="43080"/>
    <cellStyle name="40% - Accent5 2 34" xfId="20961"/>
    <cellStyle name="40% - Accent5 2 34 2" xfId="43736"/>
    <cellStyle name="40% - Accent5 2 35" xfId="21617"/>
    <cellStyle name="40% - Accent5 2 35 2" xfId="44392"/>
    <cellStyle name="40% - Accent5 2 36" xfId="22273"/>
    <cellStyle name="40% - Accent5 2 36 2" xfId="45048"/>
    <cellStyle name="40% - Accent5 2 37" xfId="212"/>
    <cellStyle name="40% - Accent5 2 38" xfId="22929"/>
    <cellStyle name="40% - Accent5 2 4" xfId="625"/>
    <cellStyle name="40% - Accent5 2 4 10" xfId="8169"/>
    <cellStyle name="40% - Accent5 2 4 10 2" xfId="30944"/>
    <cellStyle name="40% - Accent5 2 4 11" xfId="8825"/>
    <cellStyle name="40% - Accent5 2 4 11 2" xfId="31600"/>
    <cellStyle name="40% - Accent5 2 4 12" xfId="9481"/>
    <cellStyle name="40% - Accent5 2 4 12 2" xfId="32256"/>
    <cellStyle name="40% - Accent5 2 4 13" xfId="10137"/>
    <cellStyle name="40% - Accent5 2 4 13 2" xfId="32912"/>
    <cellStyle name="40% - Accent5 2 4 14" xfId="10793"/>
    <cellStyle name="40% - Accent5 2 4 14 2" xfId="33568"/>
    <cellStyle name="40% - Accent5 2 4 15" xfId="11449"/>
    <cellStyle name="40% - Accent5 2 4 15 2" xfId="34224"/>
    <cellStyle name="40% - Accent5 2 4 16" xfId="12105"/>
    <cellStyle name="40% - Accent5 2 4 16 2" xfId="34880"/>
    <cellStyle name="40% - Accent5 2 4 17" xfId="12761"/>
    <cellStyle name="40% - Accent5 2 4 17 2" xfId="35536"/>
    <cellStyle name="40% - Accent5 2 4 18" xfId="13417"/>
    <cellStyle name="40% - Accent5 2 4 18 2" xfId="36192"/>
    <cellStyle name="40% - Accent5 2 4 19" xfId="14073"/>
    <cellStyle name="40% - Accent5 2 4 19 2" xfId="36848"/>
    <cellStyle name="40% - Accent5 2 4 2" xfId="1281"/>
    <cellStyle name="40% - Accent5 2 4 2 2" xfId="3577"/>
    <cellStyle name="40% - Accent5 2 4 2 2 2" xfId="26352"/>
    <cellStyle name="40% - Accent5 2 4 2 3" xfId="24056"/>
    <cellStyle name="40% - Accent5 2 4 20" xfId="14729"/>
    <cellStyle name="40% - Accent5 2 4 20 2" xfId="37504"/>
    <cellStyle name="40% - Accent5 2 4 21" xfId="15385"/>
    <cellStyle name="40% - Accent5 2 4 21 2" xfId="38160"/>
    <cellStyle name="40% - Accent5 2 4 22" xfId="16041"/>
    <cellStyle name="40% - Accent5 2 4 22 2" xfId="38816"/>
    <cellStyle name="40% - Accent5 2 4 23" xfId="16697"/>
    <cellStyle name="40% - Accent5 2 4 23 2" xfId="39472"/>
    <cellStyle name="40% - Accent5 2 4 24" xfId="17353"/>
    <cellStyle name="40% - Accent5 2 4 24 2" xfId="40128"/>
    <cellStyle name="40% - Accent5 2 4 25" xfId="18009"/>
    <cellStyle name="40% - Accent5 2 4 25 2" xfId="40784"/>
    <cellStyle name="40% - Accent5 2 4 26" xfId="18665"/>
    <cellStyle name="40% - Accent5 2 4 26 2" xfId="41440"/>
    <cellStyle name="40% - Accent5 2 4 27" xfId="19321"/>
    <cellStyle name="40% - Accent5 2 4 27 2" xfId="42096"/>
    <cellStyle name="40% - Accent5 2 4 28" xfId="19977"/>
    <cellStyle name="40% - Accent5 2 4 28 2" xfId="42752"/>
    <cellStyle name="40% - Accent5 2 4 29" xfId="20633"/>
    <cellStyle name="40% - Accent5 2 4 29 2" xfId="43408"/>
    <cellStyle name="40% - Accent5 2 4 3" xfId="1937"/>
    <cellStyle name="40% - Accent5 2 4 3 2" xfId="4233"/>
    <cellStyle name="40% - Accent5 2 4 3 2 2" xfId="27008"/>
    <cellStyle name="40% - Accent5 2 4 3 3" xfId="24712"/>
    <cellStyle name="40% - Accent5 2 4 30" xfId="21289"/>
    <cellStyle name="40% - Accent5 2 4 30 2" xfId="44064"/>
    <cellStyle name="40% - Accent5 2 4 31" xfId="21945"/>
    <cellStyle name="40% - Accent5 2 4 31 2" xfId="44720"/>
    <cellStyle name="40% - Accent5 2 4 32" xfId="22601"/>
    <cellStyle name="40% - Accent5 2 4 32 2" xfId="45376"/>
    <cellStyle name="40% - Accent5 2 4 33" xfId="23400"/>
    <cellStyle name="40% - Accent5 2 4 4" xfId="4889"/>
    <cellStyle name="40% - Accent5 2 4 4 2" xfId="27664"/>
    <cellStyle name="40% - Accent5 2 4 5" xfId="5545"/>
    <cellStyle name="40% - Accent5 2 4 5 2" xfId="28320"/>
    <cellStyle name="40% - Accent5 2 4 6" xfId="6201"/>
    <cellStyle name="40% - Accent5 2 4 6 2" xfId="28976"/>
    <cellStyle name="40% - Accent5 2 4 7" xfId="2921"/>
    <cellStyle name="40% - Accent5 2 4 7 2" xfId="25696"/>
    <cellStyle name="40% - Accent5 2 4 8" xfId="6857"/>
    <cellStyle name="40% - Accent5 2 4 8 2" xfId="29632"/>
    <cellStyle name="40% - Accent5 2 4 9" xfId="7513"/>
    <cellStyle name="40% - Accent5 2 4 9 2" xfId="30288"/>
    <cellStyle name="40% - Accent5 2 5" xfId="298"/>
    <cellStyle name="40% - Accent5 2 5 2" xfId="2593"/>
    <cellStyle name="40% - Accent5 2 5 2 2" xfId="25368"/>
    <cellStyle name="40% - Accent5 2 5 3" xfId="23072"/>
    <cellStyle name="40% - Accent5 2 6" xfId="953"/>
    <cellStyle name="40% - Accent5 2 6 2" xfId="3249"/>
    <cellStyle name="40% - Accent5 2 6 2 2" xfId="26024"/>
    <cellStyle name="40% - Accent5 2 6 3" xfId="23728"/>
    <cellStyle name="40% - Accent5 2 7" xfId="1609"/>
    <cellStyle name="40% - Accent5 2 7 2" xfId="3905"/>
    <cellStyle name="40% - Accent5 2 7 2 2" xfId="26680"/>
    <cellStyle name="40% - Accent5 2 7 3" xfId="24384"/>
    <cellStyle name="40% - Accent5 2 8" xfId="4561"/>
    <cellStyle name="40% - Accent5 2 8 2" xfId="27336"/>
    <cellStyle name="40% - Accent5 2 9" xfId="5217"/>
    <cellStyle name="40% - Accent5 2 9 2" xfId="27992"/>
    <cellStyle name="40% - Accent5 20" xfId="7169"/>
    <cellStyle name="40% - Accent5 20 2" xfId="29944"/>
    <cellStyle name="40% - Accent5 21" xfId="7825"/>
    <cellStyle name="40% - Accent5 21 2" xfId="30600"/>
    <cellStyle name="40% - Accent5 22" xfId="8481"/>
    <cellStyle name="40% - Accent5 22 2" xfId="31256"/>
    <cellStyle name="40% - Accent5 23" xfId="9137"/>
    <cellStyle name="40% - Accent5 23 2" xfId="31912"/>
    <cellStyle name="40% - Accent5 24" xfId="9793"/>
    <cellStyle name="40% - Accent5 24 2" xfId="32568"/>
    <cellStyle name="40% - Accent5 25" xfId="10449"/>
    <cellStyle name="40% - Accent5 25 2" xfId="33224"/>
    <cellStyle name="40% - Accent5 26" xfId="11105"/>
    <cellStyle name="40% - Accent5 26 2" xfId="33880"/>
    <cellStyle name="40% - Accent5 27" xfId="11761"/>
    <cellStyle name="40% - Accent5 27 2" xfId="34536"/>
    <cellStyle name="40% - Accent5 28" xfId="12417"/>
    <cellStyle name="40% - Accent5 28 2" xfId="35192"/>
    <cellStyle name="40% - Accent5 29" xfId="13073"/>
    <cellStyle name="40% - Accent5 29 2" xfId="35848"/>
    <cellStyle name="40% - Accent5 3" xfId="61"/>
    <cellStyle name="40% - Accent5 3 10" xfId="5888"/>
    <cellStyle name="40% - Accent5 3 10 2" xfId="28663"/>
    <cellStyle name="40% - Accent5 3 11" xfId="2280"/>
    <cellStyle name="40% - Accent5 3 11 2" xfId="25055"/>
    <cellStyle name="40% - Accent5 3 12" xfId="6544"/>
    <cellStyle name="40% - Accent5 3 12 2" xfId="29319"/>
    <cellStyle name="40% - Accent5 3 13" xfId="7200"/>
    <cellStyle name="40% - Accent5 3 13 2" xfId="29975"/>
    <cellStyle name="40% - Accent5 3 14" xfId="7856"/>
    <cellStyle name="40% - Accent5 3 14 2" xfId="30631"/>
    <cellStyle name="40% - Accent5 3 15" xfId="8512"/>
    <cellStyle name="40% - Accent5 3 15 2" xfId="31287"/>
    <cellStyle name="40% - Accent5 3 16" xfId="9168"/>
    <cellStyle name="40% - Accent5 3 16 2" xfId="31943"/>
    <cellStyle name="40% - Accent5 3 17" xfId="9824"/>
    <cellStyle name="40% - Accent5 3 17 2" xfId="32599"/>
    <cellStyle name="40% - Accent5 3 18" xfId="10480"/>
    <cellStyle name="40% - Accent5 3 18 2" xfId="33255"/>
    <cellStyle name="40% - Accent5 3 19" xfId="11136"/>
    <cellStyle name="40% - Accent5 3 19 2" xfId="33911"/>
    <cellStyle name="40% - Accent5 3 2" xfId="139"/>
    <cellStyle name="40% - Accent5 3 2 10" xfId="2335"/>
    <cellStyle name="40% - Accent5 3 2 10 2" xfId="25110"/>
    <cellStyle name="40% - Accent5 3 2 11" xfId="6599"/>
    <cellStyle name="40% - Accent5 3 2 11 2" xfId="29374"/>
    <cellStyle name="40% - Accent5 3 2 12" xfId="7255"/>
    <cellStyle name="40% - Accent5 3 2 12 2" xfId="30030"/>
    <cellStyle name="40% - Accent5 3 2 13" xfId="7911"/>
    <cellStyle name="40% - Accent5 3 2 13 2" xfId="30686"/>
    <cellStyle name="40% - Accent5 3 2 14" xfId="8567"/>
    <cellStyle name="40% - Accent5 3 2 14 2" xfId="31342"/>
    <cellStyle name="40% - Accent5 3 2 15" xfId="9223"/>
    <cellStyle name="40% - Accent5 3 2 15 2" xfId="31998"/>
    <cellStyle name="40% - Accent5 3 2 16" xfId="9879"/>
    <cellStyle name="40% - Accent5 3 2 16 2" xfId="32654"/>
    <cellStyle name="40% - Accent5 3 2 17" xfId="10535"/>
    <cellStyle name="40% - Accent5 3 2 17 2" xfId="33310"/>
    <cellStyle name="40% - Accent5 3 2 18" xfId="11191"/>
    <cellStyle name="40% - Accent5 3 2 18 2" xfId="33966"/>
    <cellStyle name="40% - Accent5 3 2 19" xfId="11847"/>
    <cellStyle name="40% - Accent5 3 2 19 2" xfId="34622"/>
    <cellStyle name="40% - Accent5 3 2 2" xfId="551"/>
    <cellStyle name="40% - Accent5 3 2 2 10" xfId="6784"/>
    <cellStyle name="40% - Accent5 3 2 2 10 2" xfId="29559"/>
    <cellStyle name="40% - Accent5 3 2 2 11" xfId="7440"/>
    <cellStyle name="40% - Accent5 3 2 2 11 2" xfId="30215"/>
    <cellStyle name="40% - Accent5 3 2 2 12" xfId="8096"/>
    <cellStyle name="40% - Accent5 3 2 2 12 2" xfId="30871"/>
    <cellStyle name="40% - Accent5 3 2 2 13" xfId="8752"/>
    <cellStyle name="40% - Accent5 3 2 2 13 2" xfId="31527"/>
    <cellStyle name="40% - Accent5 3 2 2 14" xfId="9408"/>
    <cellStyle name="40% - Accent5 3 2 2 14 2" xfId="32183"/>
    <cellStyle name="40% - Accent5 3 2 2 15" xfId="10064"/>
    <cellStyle name="40% - Accent5 3 2 2 15 2" xfId="32839"/>
    <cellStyle name="40% - Accent5 3 2 2 16" xfId="10720"/>
    <cellStyle name="40% - Accent5 3 2 2 16 2" xfId="33495"/>
    <cellStyle name="40% - Accent5 3 2 2 17" xfId="11376"/>
    <cellStyle name="40% - Accent5 3 2 2 17 2" xfId="34151"/>
    <cellStyle name="40% - Accent5 3 2 2 18" xfId="12032"/>
    <cellStyle name="40% - Accent5 3 2 2 18 2" xfId="34807"/>
    <cellStyle name="40% - Accent5 3 2 2 19" xfId="12688"/>
    <cellStyle name="40% - Accent5 3 2 2 19 2" xfId="35463"/>
    <cellStyle name="40% - Accent5 3 2 2 2" xfId="880"/>
    <cellStyle name="40% - Accent5 3 2 2 2 10" xfId="8424"/>
    <cellStyle name="40% - Accent5 3 2 2 2 10 2" xfId="31199"/>
    <cellStyle name="40% - Accent5 3 2 2 2 11" xfId="9080"/>
    <cellStyle name="40% - Accent5 3 2 2 2 11 2" xfId="31855"/>
    <cellStyle name="40% - Accent5 3 2 2 2 12" xfId="9736"/>
    <cellStyle name="40% - Accent5 3 2 2 2 12 2" xfId="32511"/>
    <cellStyle name="40% - Accent5 3 2 2 2 13" xfId="10392"/>
    <cellStyle name="40% - Accent5 3 2 2 2 13 2" xfId="33167"/>
    <cellStyle name="40% - Accent5 3 2 2 2 14" xfId="11048"/>
    <cellStyle name="40% - Accent5 3 2 2 2 14 2" xfId="33823"/>
    <cellStyle name="40% - Accent5 3 2 2 2 15" xfId="11704"/>
    <cellStyle name="40% - Accent5 3 2 2 2 15 2" xfId="34479"/>
    <cellStyle name="40% - Accent5 3 2 2 2 16" xfId="12360"/>
    <cellStyle name="40% - Accent5 3 2 2 2 16 2" xfId="35135"/>
    <cellStyle name="40% - Accent5 3 2 2 2 17" xfId="13016"/>
    <cellStyle name="40% - Accent5 3 2 2 2 17 2" xfId="35791"/>
    <cellStyle name="40% - Accent5 3 2 2 2 18" xfId="13672"/>
    <cellStyle name="40% - Accent5 3 2 2 2 18 2" xfId="36447"/>
    <cellStyle name="40% - Accent5 3 2 2 2 19" xfId="14328"/>
    <cellStyle name="40% - Accent5 3 2 2 2 19 2" xfId="37103"/>
    <cellStyle name="40% - Accent5 3 2 2 2 2" xfId="1536"/>
    <cellStyle name="40% - Accent5 3 2 2 2 2 2" xfId="3832"/>
    <cellStyle name="40% - Accent5 3 2 2 2 2 2 2" xfId="26607"/>
    <cellStyle name="40% - Accent5 3 2 2 2 2 3" xfId="24311"/>
    <cellStyle name="40% - Accent5 3 2 2 2 20" xfId="14984"/>
    <cellStyle name="40% - Accent5 3 2 2 2 20 2" xfId="37759"/>
    <cellStyle name="40% - Accent5 3 2 2 2 21" xfId="15640"/>
    <cellStyle name="40% - Accent5 3 2 2 2 21 2" xfId="38415"/>
    <cellStyle name="40% - Accent5 3 2 2 2 22" xfId="16296"/>
    <cellStyle name="40% - Accent5 3 2 2 2 22 2" xfId="39071"/>
    <cellStyle name="40% - Accent5 3 2 2 2 23" xfId="16952"/>
    <cellStyle name="40% - Accent5 3 2 2 2 23 2" xfId="39727"/>
    <cellStyle name="40% - Accent5 3 2 2 2 24" xfId="17608"/>
    <cellStyle name="40% - Accent5 3 2 2 2 24 2" xfId="40383"/>
    <cellStyle name="40% - Accent5 3 2 2 2 25" xfId="18264"/>
    <cellStyle name="40% - Accent5 3 2 2 2 25 2" xfId="41039"/>
    <cellStyle name="40% - Accent5 3 2 2 2 26" xfId="18920"/>
    <cellStyle name="40% - Accent5 3 2 2 2 26 2" xfId="41695"/>
    <cellStyle name="40% - Accent5 3 2 2 2 27" xfId="19576"/>
    <cellStyle name="40% - Accent5 3 2 2 2 27 2" xfId="42351"/>
    <cellStyle name="40% - Accent5 3 2 2 2 28" xfId="20232"/>
    <cellStyle name="40% - Accent5 3 2 2 2 28 2" xfId="43007"/>
    <cellStyle name="40% - Accent5 3 2 2 2 29" xfId="20888"/>
    <cellStyle name="40% - Accent5 3 2 2 2 29 2" xfId="43663"/>
    <cellStyle name="40% - Accent5 3 2 2 2 3" xfId="2192"/>
    <cellStyle name="40% - Accent5 3 2 2 2 3 2" xfId="4488"/>
    <cellStyle name="40% - Accent5 3 2 2 2 3 2 2" xfId="27263"/>
    <cellStyle name="40% - Accent5 3 2 2 2 3 3" xfId="24967"/>
    <cellStyle name="40% - Accent5 3 2 2 2 30" xfId="21544"/>
    <cellStyle name="40% - Accent5 3 2 2 2 30 2" xfId="44319"/>
    <cellStyle name="40% - Accent5 3 2 2 2 31" xfId="22200"/>
    <cellStyle name="40% - Accent5 3 2 2 2 31 2" xfId="44975"/>
    <cellStyle name="40% - Accent5 3 2 2 2 32" xfId="22856"/>
    <cellStyle name="40% - Accent5 3 2 2 2 32 2" xfId="45631"/>
    <cellStyle name="40% - Accent5 3 2 2 2 33" xfId="23655"/>
    <cellStyle name="40% - Accent5 3 2 2 2 4" xfId="5144"/>
    <cellStyle name="40% - Accent5 3 2 2 2 4 2" xfId="27919"/>
    <cellStyle name="40% - Accent5 3 2 2 2 5" xfId="5800"/>
    <cellStyle name="40% - Accent5 3 2 2 2 5 2" xfId="28575"/>
    <cellStyle name="40% - Accent5 3 2 2 2 6" xfId="6456"/>
    <cellStyle name="40% - Accent5 3 2 2 2 6 2" xfId="29231"/>
    <cellStyle name="40% - Accent5 3 2 2 2 7" xfId="3176"/>
    <cellStyle name="40% - Accent5 3 2 2 2 7 2" xfId="25951"/>
    <cellStyle name="40% - Accent5 3 2 2 2 8" xfId="7112"/>
    <cellStyle name="40% - Accent5 3 2 2 2 8 2" xfId="29887"/>
    <cellStyle name="40% - Accent5 3 2 2 2 9" xfId="7768"/>
    <cellStyle name="40% - Accent5 3 2 2 2 9 2" xfId="30543"/>
    <cellStyle name="40% - Accent5 3 2 2 20" xfId="13344"/>
    <cellStyle name="40% - Accent5 3 2 2 20 2" xfId="36119"/>
    <cellStyle name="40% - Accent5 3 2 2 21" xfId="14000"/>
    <cellStyle name="40% - Accent5 3 2 2 21 2" xfId="36775"/>
    <cellStyle name="40% - Accent5 3 2 2 22" xfId="14656"/>
    <cellStyle name="40% - Accent5 3 2 2 22 2" xfId="37431"/>
    <cellStyle name="40% - Accent5 3 2 2 23" xfId="15312"/>
    <cellStyle name="40% - Accent5 3 2 2 23 2" xfId="38087"/>
    <cellStyle name="40% - Accent5 3 2 2 24" xfId="15968"/>
    <cellStyle name="40% - Accent5 3 2 2 24 2" xfId="38743"/>
    <cellStyle name="40% - Accent5 3 2 2 25" xfId="16624"/>
    <cellStyle name="40% - Accent5 3 2 2 25 2" xfId="39399"/>
    <cellStyle name="40% - Accent5 3 2 2 26" xfId="17280"/>
    <cellStyle name="40% - Accent5 3 2 2 26 2" xfId="40055"/>
    <cellStyle name="40% - Accent5 3 2 2 27" xfId="17936"/>
    <cellStyle name="40% - Accent5 3 2 2 27 2" xfId="40711"/>
    <cellStyle name="40% - Accent5 3 2 2 28" xfId="18592"/>
    <cellStyle name="40% - Accent5 3 2 2 28 2" xfId="41367"/>
    <cellStyle name="40% - Accent5 3 2 2 29" xfId="19248"/>
    <cellStyle name="40% - Accent5 3 2 2 29 2" xfId="42023"/>
    <cellStyle name="40% - Accent5 3 2 2 3" xfId="1208"/>
    <cellStyle name="40% - Accent5 3 2 2 3 2" xfId="2848"/>
    <cellStyle name="40% - Accent5 3 2 2 3 2 2" xfId="25623"/>
    <cellStyle name="40% - Accent5 3 2 2 3 3" xfId="23983"/>
    <cellStyle name="40% - Accent5 3 2 2 30" xfId="19904"/>
    <cellStyle name="40% - Accent5 3 2 2 30 2" xfId="42679"/>
    <cellStyle name="40% - Accent5 3 2 2 31" xfId="20560"/>
    <cellStyle name="40% - Accent5 3 2 2 31 2" xfId="43335"/>
    <cellStyle name="40% - Accent5 3 2 2 32" xfId="21216"/>
    <cellStyle name="40% - Accent5 3 2 2 32 2" xfId="43991"/>
    <cellStyle name="40% - Accent5 3 2 2 33" xfId="21872"/>
    <cellStyle name="40% - Accent5 3 2 2 33 2" xfId="44647"/>
    <cellStyle name="40% - Accent5 3 2 2 34" xfId="22528"/>
    <cellStyle name="40% - Accent5 3 2 2 34 2" xfId="45303"/>
    <cellStyle name="40% - Accent5 3 2 2 35" xfId="23327"/>
    <cellStyle name="40% - Accent5 3 2 2 4" xfId="1864"/>
    <cellStyle name="40% - Accent5 3 2 2 4 2" xfId="3504"/>
    <cellStyle name="40% - Accent5 3 2 2 4 2 2" xfId="26279"/>
    <cellStyle name="40% - Accent5 3 2 2 4 3" xfId="24639"/>
    <cellStyle name="40% - Accent5 3 2 2 5" xfId="4160"/>
    <cellStyle name="40% - Accent5 3 2 2 5 2" xfId="26935"/>
    <cellStyle name="40% - Accent5 3 2 2 6" xfId="4816"/>
    <cellStyle name="40% - Accent5 3 2 2 6 2" xfId="27591"/>
    <cellStyle name="40% - Accent5 3 2 2 7" xfId="5472"/>
    <cellStyle name="40% - Accent5 3 2 2 7 2" xfId="28247"/>
    <cellStyle name="40% - Accent5 3 2 2 8" xfId="6128"/>
    <cellStyle name="40% - Accent5 3 2 2 8 2" xfId="28903"/>
    <cellStyle name="40% - Accent5 3 2 2 9" xfId="2520"/>
    <cellStyle name="40% - Accent5 3 2 2 9 2" xfId="25295"/>
    <cellStyle name="40% - Accent5 3 2 20" xfId="12503"/>
    <cellStyle name="40% - Accent5 3 2 20 2" xfId="35278"/>
    <cellStyle name="40% - Accent5 3 2 21" xfId="13159"/>
    <cellStyle name="40% - Accent5 3 2 21 2" xfId="35934"/>
    <cellStyle name="40% - Accent5 3 2 22" xfId="13815"/>
    <cellStyle name="40% - Accent5 3 2 22 2" xfId="36590"/>
    <cellStyle name="40% - Accent5 3 2 23" xfId="14471"/>
    <cellStyle name="40% - Accent5 3 2 23 2" xfId="37246"/>
    <cellStyle name="40% - Accent5 3 2 24" xfId="15127"/>
    <cellStyle name="40% - Accent5 3 2 24 2" xfId="37902"/>
    <cellStyle name="40% - Accent5 3 2 25" xfId="15783"/>
    <cellStyle name="40% - Accent5 3 2 25 2" xfId="38558"/>
    <cellStyle name="40% - Accent5 3 2 26" xfId="16439"/>
    <cellStyle name="40% - Accent5 3 2 26 2" xfId="39214"/>
    <cellStyle name="40% - Accent5 3 2 27" xfId="17095"/>
    <cellStyle name="40% - Accent5 3 2 27 2" xfId="39870"/>
    <cellStyle name="40% - Accent5 3 2 28" xfId="17751"/>
    <cellStyle name="40% - Accent5 3 2 28 2" xfId="40526"/>
    <cellStyle name="40% - Accent5 3 2 29" xfId="18407"/>
    <cellStyle name="40% - Accent5 3 2 29 2" xfId="41182"/>
    <cellStyle name="40% - Accent5 3 2 3" xfId="695"/>
    <cellStyle name="40% - Accent5 3 2 3 10" xfId="8239"/>
    <cellStyle name="40% - Accent5 3 2 3 10 2" xfId="31014"/>
    <cellStyle name="40% - Accent5 3 2 3 11" xfId="8895"/>
    <cellStyle name="40% - Accent5 3 2 3 11 2" xfId="31670"/>
    <cellStyle name="40% - Accent5 3 2 3 12" xfId="9551"/>
    <cellStyle name="40% - Accent5 3 2 3 12 2" xfId="32326"/>
    <cellStyle name="40% - Accent5 3 2 3 13" xfId="10207"/>
    <cellStyle name="40% - Accent5 3 2 3 13 2" xfId="32982"/>
    <cellStyle name="40% - Accent5 3 2 3 14" xfId="10863"/>
    <cellStyle name="40% - Accent5 3 2 3 14 2" xfId="33638"/>
    <cellStyle name="40% - Accent5 3 2 3 15" xfId="11519"/>
    <cellStyle name="40% - Accent5 3 2 3 15 2" xfId="34294"/>
    <cellStyle name="40% - Accent5 3 2 3 16" xfId="12175"/>
    <cellStyle name="40% - Accent5 3 2 3 16 2" xfId="34950"/>
    <cellStyle name="40% - Accent5 3 2 3 17" xfId="12831"/>
    <cellStyle name="40% - Accent5 3 2 3 17 2" xfId="35606"/>
    <cellStyle name="40% - Accent5 3 2 3 18" xfId="13487"/>
    <cellStyle name="40% - Accent5 3 2 3 18 2" xfId="36262"/>
    <cellStyle name="40% - Accent5 3 2 3 19" xfId="14143"/>
    <cellStyle name="40% - Accent5 3 2 3 19 2" xfId="36918"/>
    <cellStyle name="40% - Accent5 3 2 3 2" xfId="1351"/>
    <cellStyle name="40% - Accent5 3 2 3 2 2" xfId="3647"/>
    <cellStyle name="40% - Accent5 3 2 3 2 2 2" xfId="26422"/>
    <cellStyle name="40% - Accent5 3 2 3 2 3" xfId="24126"/>
    <cellStyle name="40% - Accent5 3 2 3 20" xfId="14799"/>
    <cellStyle name="40% - Accent5 3 2 3 20 2" xfId="37574"/>
    <cellStyle name="40% - Accent5 3 2 3 21" xfId="15455"/>
    <cellStyle name="40% - Accent5 3 2 3 21 2" xfId="38230"/>
    <cellStyle name="40% - Accent5 3 2 3 22" xfId="16111"/>
    <cellStyle name="40% - Accent5 3 2 3 22 2" xfId="38886"/>
    <cellStyle name="40% - Accent5 3 2 3 23" xfId="16767"/>
    <cellStyle name="40% - Accent5 3 2 3 23 2" xfId="39542"/>
    <cellStyle name="40% - Accent5 3 2 3 24" xfId="17423"/>
    <cellStyle name="40% - Accent5 3 2 3 24 2" xfId="40198"/>
    <cellStyle name="40% - Accent5 3 2 3 25" xfId="18079"/>
    <cellStyle name="40% - Accent5 3 2 3 25 2" xfId="40854"/>
    <cellStyle name="40% - Accent5 3 2 3 26" xfId="18735"/>
    <cellStyle name="40% - Accent5 3 2 3 26 2" xfId="41510"/>
    <cellStyle name="40% - Accent5 3 2 3 27" xfId="19391"/>
    <cellStyle name="40% - Accent5 3 2 3 27 2" xfId="42166"/>
    <cellStyle name="40% - Accent5 3 2 3 28" xfId="20047"/>
    <cellStyle name="40% - Accent5 3 2 3 28 2" xfId="42822"/>
    <cellStyle name="40% - Accent5 3 2 3 29" xfId="20703"/>
    <cellStyle name="40% - Accent5 3 2 3 29 2" xfId="43478"/>
    <cellStyle name="40% - Accent5 3 2 3 3" xfId="2007"/>
    <cellStyle name="40% - Accent5 3 2 3 3 2" xfId="4303"/>
    <cellStyle name="40% - Accent5 3 2 3 3 2 2" xfId="27078"/>
    <cellStyle name="40% - Accent5 3 2 3 3 3" xfId="24782"/>
    <cellStyle name="40% - Accent5 3 2 3 30" xfId="21359"/>
    <cellStyle name="40% - Accent5 3 2 3 30 2" xfId="44134"/>
    <cellStyle name="40% - Accent5 3 2 3 31" xfId="22015"/>
    <cellStyle name="40% - Accent5 3 2 3 31 2" xfId="44790"/>
    <cellStyle name="40% - Accent5 3 2 3 32" xfId="22671"/>
    <cellStyle name="40% - Accent5 3 2 3 32 2" xfId="45446"/>
    <cellStyle name="40% - Accent5 3 2 3 33" xfId="23470"/>
    <cellStyle name="40% - Accent5 3 2 3 4" xfId="4959"/>
    <cellStyle name="40% - Accent5 3 2 3 4 2" xfId="27734"/>
    <cellStyle name="40% - Accent5 3 2 3 5" xfId="5615"/>
    <cellStyle name="40% - Accent5 3 2 3 5 2" xfId="28390"/>
    <cellStyle name="40% - Accent5 3 2 3 6" xfId="6271"/>
    <cellStyle name="40% - Accent5 3 2 3 6 2" xfId="29046"/>
    <cellStyle name="40% - Accent5 3 2 3 7" xfId="2991"/>
    <cellStyle name="40% - Accent5 3 2 3 7 2" xfId="25766"/>
    <cellStyle name="40% - Accent5 3 2 3 8" xfId="6927"/>
    <cellStyle name="40% - Accent5 3 2 3 8 2" xfId="29702"/>
    <cellStyle name="40% - Accent5 3 2 3 9" xfId="7583"/>
    <cellStyle name="40% - Accent5 3 2 3 9 2" xfId="30358"/>
    <cellStyle name="40% - Accent5 3 2 30" xfId="19063"/>
    <cellStyle name="40% - Accent5 3 2 30 2" xfId="41838"/>
    <cellStyle name="40% - Accent5 3 2 31" xfId="19719"/>
    <cellStyle name="40% - Accent5 3 2 31 2" xfId="42494"/>
    <cellStyle name="40% - Accent5 3 2 32" xfId="20375"/>
    <cellStyle name="40% - Accent5 3 2 32 2" xfId="43150"/>
    <cellStyle name="40% - Accent5 3 2 33" xfId="21031"/>
    <cellStyle name="40% - Accent5 3 2 33 2" xfId="43806"/>
    <cellStyle name="40% - Accent5 3 2 34" xfId="21687"/>
    <cellStyle name="40% - Accent5 3 2 34 2" xfId="44462"/>
    <cellStyle name="40% - Accent5 3 2 35" xfId="22343"/>
    <cellStyle name="40% - Accent5 3 2 35 2" xfId="45118"/>
    <cellStyle name="40% - Accent5 3 2 36" xfId="22999"/>
    <cellStyle name="40% - Accent5 3 2 4" xfId="368"/>
    <cellStyle name="40% - Accent5 3 2 4 2" xfId="2663"/>
    <cellStyle name="40% - Accent5 3 2 4 2 2" xfId="25438"/>
    <cellStyle name="40% - Accent5 3 2 4 3" xfId="23142"/>
    <cellStyle name="40% - Accent5 3 2 5" xfId="1023"/>
    <cellStyle name="40% - Accent5 3 2 5 2" xfId="3319"/>
    <cellStyle name="40% - Accent5 3 2 5 2 2" xfId="26094"/>
    <cellStyle name="40% - Accent5 3 2 5 3" xfId="23798"/>
    <cellStyle name="40% - Accent5 3 2 6" xfId="1679"/>
    <cellStyle name="40% - Accent5 3 2 6 2" xfId="3975"/>
    <cellStyle name="40% - Accent5 3 2 6 2 2" xfId="26750"/>
    <cellStyle name="40% - Accent5 3 2 6 3" xfId="24454"/>
    <cellStyle name="40% - Accent5 3 2 7" xfId="4631"/>
    <cellStyle name="40% - Accent5 3 2 7 2" xfId="27406"/>
    <cellStyle name="40% - Accent5 3 2 8" xfId="5287"/>
    <cellStyle name="40% - Accent5 3 2 8 2" xfId="28062"/>
    <cellStyle name="40% - Accent5 3 2 9" xfId="5943"/>
    <cellStyle name="40% - Accent5 3 2 9 2" xfId="28718"/>
    <cellStyle name="40% - Accent5 3 20" xfId="11792"/>
    <cellStyle name="40% - Accent5 3 20 2" xfId="34567"/>
    <cellStyle name="40% - Accent5 3 21" xfId="12448"/>
    <cellStyle name="40% - Accent5 3 21 2" xfId="35223"/>
    <cellStyle name="40% - Accent5 3 22" xfId="13104"/>
    <cellStyle name="40% - Accent5 3 22 2" xfId="35879"/>
    <cellStyle name="40% - Accent5 3 23" xfId="13760"/>
    <cellStyle name="40% - Accent5 3 23 2" xfId="36535"/>
    <cellStyle name="40% - Accent5 3 24" xfId="14416"/>
    <cellStyle name="40% - Accent5 3 24 2" xfId="37191"/>
    <cellStyle name="40% - Accent5 3 25" xfId="15072"/>
    <cellStyle name="40% - Accent5 3 25 2" xfId="37847"/>
    <cellStyle name="40% - Accent5 3 26" xfId="15728"/>
    <cellStyle name="40% - Accent5 3 26 2" xfId="38503"/>
    <cellStyle name="40% - Accent5 3 27" xfId="16384"/>
    <cellStyle name="40% - Accent5 3 27 2" xfId="39159"/>
    <cellStyle name="40% - Accent5 3 28" xfId="17040"/>
    <cellStyle name="40% - Accent5 3 28 2" xfId="39815"/>
    <cellStyle name="40% - Accent5 3 29" xfId="17696"/>
    <cellStyle name="40% - Accent5 3 29 2" xfId="40471"/>
    <cellStyle name="40% - Accent5 3 3" xfId="497"/>
    <cellStyle name="40% - Accent5 3 3 10" xfId="6729"/>
    <cellStyle name="40% - Accent5 3 3 10 2" xfId="29504"/>
    <cellStyle name="40% - Accent5 3 3 11" xfId="7385"/>
    <cellStyle name="40% - Accent5 3 3 11 2" xfId="30160"/>
    <cellStyle name="40% - Accent5 3 3 12" xfId="8041"/>
    <cellStyle name="40% - Accent5 3 3 12 2" xfId="30816"/>
    <cellStyle name="40% - Accent5 3 3 13" xfId="8697"/>
    <cellStyle name="40% - Accent5 3 3 13 2" xfId="31472"/>
    <cellStyle name="40% - Accent5 3 3 14" xfId="9353"/>
    <cellStyle name="40% - Accent5 3 3 14 2" xfId="32128"/>
    <cellStyle name="40% - Accent5 3 3 15" xfId="10009"/>
    <cellStyle name="40% - Accent5 3 3 15 2" xfId="32784"/>
    <cellStyle name="40% - Accent5 3 3 16" xfId="10665"/>
    <cellStyle name="40% - Accent5 3 3 16 2" xfId="33440"/>
    <cellStyle name="40% - Accent5 3 3 17" xfId="11321"/>
    <cellStyle name="40% - Accent5 3 3 17 2" xfId="34096"/>
    <cellStyle name="40% - Accent5 3 3 18" xfId="11977"/>
    <cellStyle name="40% - Accent5 3 3 18 2" xfId="34752"/>
    <cellStyle name="40% - Accent5 3 3 19" xfId="12633"/>
    <cellStyle name="40% - Accent5 3 3 19 2" xfId="35408"/>
    <cellStyle name="40% - Accent5 3 3 2" xfId="825"/>
    <cellStyle name="40% - Accent5 3 3 2 10" xfId="8369"/>
    <cellStyle name="40% - Accent5 3 3 2 10 2" xfId="31144"/>
    <cellStyle name="40% - Accent5 3 3 2 11" xfId="9025"/>
    <cellStyle name="40% - Accent5 3 3 2 11 2" xfId="31800"/>
    <cellStyle name="40% - Accent5 3 3 2 12" xfId="9681"/>
    <cellStyle name="40% - Accent5 3 3 2 12 2" xfId="32456"/>
    <cellStyle name="40% - Accent5 3 3 2 13" xfId="10337"/>
    <cellStyle name="40% - Accent5 3 3 2 13 2" xfId="33112"/>
    <cellStyle name="40% - Accent5 3 3 2 14" xfId="10993"/>
    <cellStyle name="40% - Accent5 3 3 2 14 2" xfId="33768"/>
    <cellStyle name="40% - Accent5 3 3 2 15" xfId="11649"/>
    <cellStyle name="40% - Accent5 3 3 2 15 2" xfId="34424"/>
    <cellStyle name="40% - Accent5 3 3 2 16" xfId="12305"/>
    <cellStyle name="40% - Accent5 3 3 2 16 2" xfId="35080"/>
    <cellStyle name="40% - Accent5 3 3 2 17" xfId="12961"/>
    <cellStyle name="40% - Accent5 3 3 2 17 2" xfId="35736"/>
    <cellStyle name="40% - Accent5 3 3 2 18" xfId="13617"/>
    <cellStyle name="40% - Accent5 3 3 2 18 2" xfId="36392"/>
    <cellStyle name="40% - Accent5 3 3 2 19" xfId="14273"/>
    <cellStyle name="40% - Accent5 3 3 2 19 2" xfId="37048"/>
    <cellStyle name="40% - Accent5 3 3 2 2" xfId="1481"/>
    <cellStyle name="40% - Accent5 3 3 2 2 2" xfId="3777"/>
    <cellStyle name="40% - Accent5 3 3 2 2 2 2" xfId="26552"/>
    <cellStyle name="40% - Accent5 3 3 2 2 3" xfId="24256"/>
    <cellStyle name="40% - Accent5 3 3 2 20" xfId="14929"/>
    <cellStyle name="40% - Accent5 3 3 2 20 2" xfId="37704"/>
    <cellStyle name="40% - Accent5 3 3 2 21" xfId="15585"/>
    <cellStyle name="40% - Accent5 3 3 2 21 2" xfId="38360"/>
    <cellStyle name="40% - Accent5 3 3 2 22" xfId="16241"/>
    <cellStyle name="40% - Accent5 3 3 2 22 2" xfId="39016"/>
    <cellStyle name="40% - Accent5 3 3 2 23" xfId="16897"/>
    <cellStyle name="40% - Accent5 3 3 2 23 2" xfId="39672"/>
    <cellStyle name="40% - Accent5 3 3 2 24" xfId="17553"/>
    <cellStyle name="40% - Accent5 3 3 2 24 2" xfId="40328"/>
    <cellStyle name="40% - Accent5 3 3 2 25" xfId="18209"/>
    <cellStyle name="40% - Accent5 3 3 2 25 2" xfId="40984"/>
    <cellStyle name="40% - Accent5 3 3 2 26" xfId="18865"/>
    <cellStyle name="40% - Accent5 3 3 2 26 2" xfId="41640"/>
    <cellStyle name="40% - Accent5 3 3 2 27" xfId="19521"/>
    <cellStyle name="40% - Accent5 3 3 2 27 2" xfId="42296"/>
    <cellStyle name="40% - Accent5 3 3 2 28" xfId="20177"/>
    <cellStyle name="40% - Accent5 3 3 2 28 2" xfId="42952"/>
    <cellStyle name="40% - Accent5 3 3 2 29" xfId="20833"/>
    <cellStyle name="40% - Accent5 3 3 2 29 2" xfId="43608"/>
    <cellStyle name="40% - Accent5 3 3 2 3" xfId="2137"/>
    <cellStyle name="40% - Accent5 3 3 2 3 2" xfId="4433"/>
    <cellStyle name="40% - Accent5 3 3 2 3 2 2" xfId="27208"/>
    <cellStyle name="40% - Accent5 3 3 2 3 3" xfId="24912"/>
    <cellStyle name="40% - Accent5 3 3 2 30" xfId="21489"/>
    <cellStyle name="40% - Accent5 3 3 2 30 2" xfId="44264"/>
    <cellStyle name="40% - Accent5 3 3 2 31" xfId="22145"/>
    <cellStyle name="40% - Accent5 3 3 2 31 2" xfId="44920"/>
    <cellStyle name="40% - Accent5 3 3 2 32" xfId="22801"/>
    <cellStyle name="40% - Accent5 3 3 2 32 2" xfId="45576"/>
    <cellStyle name="40% - Accent5 3 3 2 33" xfId="23600"/>
    <cellStyle name="40% - Accent5 3 3 2 4" xfId="5089"/>
    <cellStyle name="40% - Accent5 3 3 2 4 2" xfId="27864"/>
    <cellStyle name="40% - Accent5 3 3 2 5" xfId="5745"/>
    <cellStyle name="40% - Accent5 3 3 2 5 2" xfId="28520"/>
    <cellStyle name="40% - Accent5 3 3 2 6" xfId="6401"/>
    <cellStyle name="40% - Accent5 3 3 2 6 2" xfId="29176"/>
    <cellStyle name="40% - Accent5 3 3 2 7" xfId="3121"/>
    <cellStyle name="40% - Accent5 3 3 2 7 2" xfId="25896"/>
    <cellStyle name="40% - Accent5 3 3 2 8" xfId="7057"/>
    <cellStyle name="40% - Accent5 3 3 2 8 2" xfId="29832"/>
    <cellStyle name="40% - Accent5 3 3 2 9" xfId="7713"/>
    <cellStyle name="40% - Accent5 3 3 2 9 2" xfId="30488"/>
    <cellStyle name="40% - Accent5 3 3 20" xfId="13289"/>
    <cellStyle name="40% - Accent5 3 3 20 2" xfId="36064"/>
    <cellStyle name="40% - Accent5 3 3 21" xfId="13945"/>
    <cellStyle name="40% - Accent5 3 3 21 2" xfId="36720"/>
    <cellStyle name="40% - Accent5 3 3 22" xfId="14601"/>
    <cellStyle name="40% - Accent5 3 3 22 2" xfId="37376"/>
    <cellStyle name="40% - Accent5 3 3 23" xfId="15257"/>
    <cellStyle name="40% - Accent5 3 3 23 2" xfId="38032"/>
    <cellStyle name="40% - Accent5 3 3 24" xfId="15913"/>
    <cellStyle name="40% - Accent5 3 3 24 2" xfId="38688"/>
    <cellStyle name="40% - Accent5 3 3 25" xfId="16569"/>
    <cellStyle name="40% - Accent5 3 3 25 2" xfId="39344"/>
    <cellStyle name="40% - Accent5 3 3 26" xfId="17225"/>
    <cellStyle name="40% - Accent5 3 3 26 2" xfId="40000"/>
    <cellStyle name="40% - Accent5 3 3 27" xfId="17881"/>
    <cellStyle name="40% - Accent5 3 3 27 2" xfId="40656"/>
    <cellStyle name="40% - Accent5 3 3 28" xfId="18537"/>
    <cellStyle name="40% - Accent5 3 3 28 2" xfId="41312"/>
    <cellStyle name="40% - Accent5 3 3 29" xfId="19193"/>
    <cellStyle name="40% - Accent5 3 3 29 2" xfId="41968"/>
    <cellStyle name="40% - Accent5 3 3 3" xfId="1153"/>
    <cellStyle name="40% - Accent5 3 3 3 2" xfId="2793"/>
    <cellStyle name="40% - Accent5 3 3 3 2 2" xfId="25568"/>
    <cellStyle name="40% - Accent5 3 3 3 3" xfId="23928"/>
    <cellStyle name="40% - Accent5 3 3 30" xfId="19849"/>
    <cellStyle name="40% - Accent5 3 3 30 2" xfId="42624"/>
    <cellStyle name="40% - Accent5 3 3 31" xfId="20505"/>
    <cellStyle name="40% - Accent5 3 3 31 2" xfId="43280"/>
    <cellStyle name="40% - Accent5 3 3 32" xfId="21161"/>
    <cellStyle name="40% - Accent5 3 3 32 2" xfId="43936"/>
    <cellStyle name="40% - Accent5 3 3 33" xfId="21817"/>
    <cellStyle name="40% - Accent5 3 3 33 2" xfId="44592"/>
    <cellStyle name="40% - Accent5 3 3 34" xfId="22473"/>
    <cellStyle name="40% - Accent5 3 3 34 2" xfId="45248"/>
    <cellStyle name="40% - Accent5 3 3 35" xfId="23272"/>
    <cellStyle name="40% - Accent5 3 3 4" xfId="1809"/>
    <cellStyle name="40% - Accent5 3 3 4 2" xfId="3449"/>
    <cellStyle name="40% - Accent5 3 3 4 2 2" xfId="26224"/>
    <cellStyle name="40% - Accent5 3 3 4 3" xfId="24584"/>
    <cellStyle name="40% - Accent5 3 3 5" xfId="4105"/>
    <cellStyle name="40% - Accent5 3 3 5 2" xfId="26880"/>
    <cellStyle name="40% - Accent5 3 3 6" xfId="4761"/>
    <cellStyle name="40% - Accent5 3 3 6 2" xfId="27536"/>
    <cellStyle name="40% - Accent5 3 3 7" xfId="5417"/>
    <cellStyle name="40% - Accent5 3 3 7 2" xfId="28192"/>
    <cellStyle name="40% - Accent5 3 3 8" xfId="6073"/>
    <cellStyle name="40% - Accent5 3 3 8 2" xfId="28848"/>
    <cellStyle name="40% - Accent5 3 3 9" xfId="2465"/>
    <cellStyle name="40% - Accent5 3 3 9 2" xfId="25240"/>
    <cellStyle name="40% - Accent5 3 30" xfId="18352"/>
    <cellStyle name="40% - Accent5 3 30 2" xfId="41127"/>
    <cellStyle name="40% - Accent5 3 31" xfId="19008"/>
    <cellStyle name="40% - Accent5 3 31 2" xfId="41783"/>
    <cellStyle name="40% - Accent5 3 32" xfId="19664"/>
    <cellStyle name="40% - Accent5 3 32 2" xfId="42439"/>
    <cellStyle name="40% - Accent5 3 33" xfId="20320"/>
    <cellStyle name="40% - Accent5 3 33 2" xfId="43095"/>
    <cellStyle name="40% - Accent5 3 34" xfId="20976"/>
    <cellStyle name="40% - Accent5 3 34 2" xfId="43751"/>
    <cellStyle name="40% - Accent5 3 35" xfId="21632"/>
    <cellStyle name="40% - Accent5 3 35 2" xfId="44407"/>
    <cellStyle name="40% - Accent5 3 36" xfId="22288"/>
    <cellStyle name="40% - Accent5 3 36 2" xfId="45063"/>
    <cellStyle name="40% - Accent5 3 37" xfId="227"/>
    <cellStyle name="40% - Accent5 3 38" xfId="22944"/>
    <cellStyle name="40% - Accent5 3 4" xfId="640"/>
    <cellStyle name="40% - Accent5 3 4 10" xfId="8184"/>
    <cellStyle name="40% - Accent5 3 4 10 2" xfId="30959"/>
    <cellStyle name="40% - Accent5 3 4 11" xfId="8840"/>
    <cellStyle name="40% - Accent5 3 4 11 2" xfId="31615"/>
    <cellStyle name="40% - Accent5 3 4 12" xfId="9496"/>
    <cellStyle name="40% - Accent5 3 4 12 2" xfId="32271"/>
    <cellStyle name="40% - Accent5 3 4 13" xfId="10152"/>
    <cellStyle name="40% - Accent5 3 4 13 2" xfId="32927"/>
    <cellStyle name="40% - Accent5 3 4 14" xfId="10808"/>
    <cellStyle name="40% - Accent5 3 4 14 2" xfId="33583"/>
    <cellStyle name="40% - Accent5 3 4 15" xfId="11464"/>
    <cellStyle name="40% - Accent5 3 4 15 2" xfId="34239"/>
    <cellStyle name="40% - Accent5 3 4 16" xfId="12120"/>
    <cellStyle name="40% - Accent5 3 4 16 2" xfId="34895"/>
    <cellStyle name="40% - Accent5 3 4 17" xfId="12776"/>
    <cellStyle name="40% - Accent5 3 4 17 2" xfId="35551"/>
    <cellStyle name="40% - Accent5 3 4 18" xfId="13432"/>
    <cellStyle name="40% - Accent5 3 4 18 2" xfId="36207"/>
    <cellStyle name="40% - Accent5 3 4 19" xfId="14088"/>
    <cellStyle name="40% - Accent5 3 4 19 2" xfId="36863"/>
    <cellStyle name="40% - Accent5 3 4 2" xfId="1296"/>
    <cellStyle name="40% - Accent5 3 4 2 2" xfId="3592"/>
    <cellStyle name="40% - Accent5 3 4 2 2 2" xfId="26367"/>
    <cellStyle name="40% - Accent5 3 4 2 3" xfId="24071"/>
    <cellStyle name="40% - Accent5 3 4 20" xfId="14744"/>
    <cellStyle name="40% - Accent5 3 4 20 2" xfId="37519"/>
    <cellStyle name="40% - Accent5 3 4 21" xfId="15400"/>
    <cellStyle name="40% - Accent5 3 4 21 2" xfId="38175"/>
    <cellStyle name="40% - Accent5 3 4 22" xfId="16056"/>
    <cellStyle name="40% - Accent5 3 4 22 2" xfId="38831"/>
    <cellStyle name="40% - Accent5 3 4 23" xfId="16712"/>
    <cellStyle name="40% - Accent5 3 4 23 2" xfId="39487"/>
    <cellStyle name="40% - Accent5 3 4 24" xfId="17368"/>
    <cellStyle name="40% - Accent5 3 4 24 2" xfId="40143"/>
    <cellStyle name="40% - Accent5 3 4 25" xfId="18024"/>
    <cellStyle name="40% - Accent5 3 4 25 2" xfId="40799"/>
    <cellStyle name="40% - Accent5 3 4 26" xfId="18680"/>
    <cellStyle name="40% - Accent5 3 4 26 2" xfId="41455"/>
    <cellStyle name="40% - Accent5 3 4 27" xfId="19336"/>
    <cellStyle name="40% - Accent5 3 4 27 2" xfId="42111"/>
    <cellStyle name="40% - Accent5 3 4 28" xfId="19992"/>
    <cellStyle name="40% - Accent5 3 4 28 2" xfId="42767"/>
    <cellStyle name="40% - Accent5 3 4 29" xfId="20648"/>
    <cellStyle name="40% - Accent5 3 4 29 2" xfId="43423"/>
    <cellStyle name="40% - Accent5 3 4 3" xfId="1952"/>
    <cellStyle name="40% - Accent5 3 4 3 2" xfId="4248"/>
    <cellStyle name="40% - Accent5 3 4 3 2 2" xfId="27023"/>
    <cellStyle name="40% - Accent5 3 4 3 3" xfId="24727"/>
    <cellStyle name="40% - Accent5 3 4 30" xfId="21304"/>
    <cellStyle name="40% - Accent5 3 4 30 2" xfId="44079"/>
    <cellStyle name="40% - Accent5 3 4 31" xfId="21960"/>
    <cellStyle name="40% - Accent5 3 4 31 2" xfId="44735"/>
    <cellStyle name="40% - Accent5 3 4 32" xfId="22616"/>
    <cellStyle name="40% - Accent5 3 4 32 2" xfId="45391"/>
    <cellStyle name="40% - Accent5 3 4 33" xfId="23415"/>
    <cellStyle name="40% - Accent5 3 4 4" xfId="4904"/>
    <cellStyle name="40% - Accent5 3 4 4 2" xfId="27679"/>
    <cellStyle name="40% - Accent5 3 4 5" xfId="5560"/>
    <cellStyle name="40% - Accent5 3 4 5 2" xfId="28335"/>
    <cellStyle name="40% - Accent5 3 4 6" xfId="6216"/>
    <cellStyle name="40% - Accent5 3 4 6 2" xfId="28991"/>
    <cellStyle name="40% - Accent5 3 4 7" xfId="2936"/>
    <cellStyle name="40% - Accent5 3 4 7 2" xfId="25711"/>
    <cellStyle name="40% - Accent5 3 4 8" xfId="6872"/>
    <cellStyle name="40% - Accent5 3 4 8 2" xfId="29647"/>
    <cellStyle name="40% - Accent5 3 4 9" xfId="7528"/>
    <cellStyle name="40% - Accent5 3 4 9 2" xfId="30303"/>
    <cellStyle name="40% - Accent5 3 5" xfId="313"/>
    <cellStyle name="40% - Accent5 3 5 2" xfId="2608"/>
    <cellStyle name="40% - Accent5 3 5 2 2" xfId="25383"/>
    <cellStyle name="40% - Accent5 3 5 3" xfId="23087"/>
    <cellStyle name="40% - Accent5 3 6" xfId="968"/>
    <cellStyle name="40% - Accent5 3 6 2" xfId="3264"/>
    <cellStyle name="40% - Accent5 3 6 2 2" xfId="26039"/>
    <cellStyle name="40% - Accent5 3 6 3" xfId="23743"/>
    <cellStyle name="40% - Accent5 3 7" xfId="1624"/>
    <cellStyle name="40% - Accent5 3 7 2" xfId="3920"/>
    <cellStyle name="40% - Accent5 3 7 2 2" xfId="26695"/>
    <cellStyle name="40% - Accent5 3 7 3" xfId="24399"/>
    <cellStyle name="40% - Accent5 3 8" xfId="4576"/>
    <cellStyle name="40% - Accent5 3 8 2" xfId="27351"/>
    <cellStyle name="40% - Accent5 3 9" xfId="5232"/>
    <cellStyle name="40% - Accent5 3 9 2" xfId="28007"/>
    <cellStyle name="40% - Accent5 30" xfId="13729"/>
    <cellStyle name="40% - Accent5 30 2" xfId="36504"/>
    <cellStyle name="40% - Accent5 31" xfId="14385"/>
    <cellStyle name="40% - Accent5 31 2" xfId="37160"/>
    <cellStyle name="40% - Accent5 32" xfId="15041"/>
    <cellStyle name="40% - Accent5 32 2" xfId="37816"/>
    <cellStyle name="40% - Accent5 33" xfId="15697"/>
    <cellStyle name="40% - Accent5 33 2" xfId="38472"/>
    <cellStyle name="40% - Accent5 34" xfId="16353"/>
    <cellStyle name="40% - Accent5 34 2" xfId="39128"/>
    <cellStyle name="40% - Accent5 35" xfId="17009"/>
    <cellStyle name="40% - Accent5 35 2" xfId="39784"/>
    <cellStyle name="40% - Accent5 36" xfId="17665"/>
    <cellStyle name="40% - Accent5 36 2" xfId="40440"/>
    <cellStyle name="40% - Accent5 37" xfId="18321"/>
    <cellStyle name="40% - Accent5 37 2" xfId="41096"/>
    <cellStyle name="40% - Accent5 38" xfId="18977"/>
    <cellStyle name="40% - Accent5 38 2" xfId="41752"/>
    <cellStyle name="40% - Accent5 39" xfId="19633"/>
    <cellStyle name="40% - Accent5 39 2" xfId="42408"/>
    <cellStyle name="40% - Accent5 4" xfId="96"/>
    <cellStyle name="40% - Accent5 4 10" xfId="5902"/>
    <cellStyle name="40% - Accent5 4 10 2" xfId="28677"/>
    <cellStyle name="40% - Accent5 4 11" xfId="2294"/>
    <cellStyle name="40% - Accent5 4 11 2" xfId="25069"/>
    <cellStyle name="40% - Accent5 4 12" xfId="6558"/>
    <cellStyle name="40% - Accent5 4 12 2" xfId="29333"/>
    <cellStyle name="40% - Accent5 4 13" xfId="7214"/>
    <cellStyle name="40% - Accent5 4 13 2" xfId="29989"/>
    <cellStyle name="40% - Accent5 4 14" xfId="7870"/>
    <cellStyle name="40% - Accent5 4 14 2" xfId="30645"/>
    <cellStyle name="40% - Accent5 4 15" xfId="8526"/>
    <cellStyle name="40% - Accent5 4 15 2" xfId="31301"/>
    <cellStyle name="40% - Accent5 4 16" xfId="9182"/>
    <cellStyle name="40% - Accent5 4 16 2" xfId="31957"/>
    <cellStyle name="40% - Accent5 4 17" xfId="9838"/>
    <cellStyle name="40% - Accent5 4 17 2" xfId="32613"/>
    <cellStyle name="40% - Accent5 4 18" xfId="10494"/>
    <cellStyle name="40% - Accent5 4 18 2" xfId="33269"/>
    <cellStyle name="40% - Accent5 4 19" xfId="11150"/>
    <cellStyle name="40% - Accent5 4 19 2" xfId="33925"/>
    <cellStyle name="40% - Accent5 4 2" xfId="167"/>
    <cellStyle name="40% - Accent5 4 2 10" xfId="2365"/>
    <cellStyle name="40% - Accent5 4 2 10 2" xfId="25140"/>
    <cellStyle name="40% - Accent5 4 2 11" xfId="6629"/>
    <cellStyle name="40% - Accent5 4 2 11 2" xfId="29404"/>
    <cellStyle name="40% - Accent5 4 2 12" xfId="7285"/>
    <cellStyle name="40% - Accent5 4 2 12 2" xfId="30060"/>
    <cellStyle name="40% - Accent5 4 2 13" xfId="7941"/>
    <cellStyle name="40% - Accent5 4 2 13 2" xfId="30716"/>
    <cellStyle name="40% - Accent5 4 2 14" xfId="8597"/>
    <cellStyle name="40% - Accent5 4 2 14 2" xfId="31372"/>
    <cellStyle name="40% - Accent5 4 2 15" xfId="9253"/>
    <cellStyle name="40% - Accent5 4 2 15 2" xfId="32028"/>
    <cellStyle name="40% - Accent5 4 2 16" xfId="9909"/>
    <cellStyle name="40% - Accent5 4 2 16 2" xfId="32684"/>
    <cellStyle name="40% - Accent5 4 2 17" xfId="10565"/>
    <cellStyle name="40% - Accent5 4 2 17 2" xfId="33340"/>
    <cellStyle name="40% - Accent5 4 2 18" xfId="11221"/>
    <cellStyle name="40% - Accent5 4 2 18 2" xfId="33996"/>
    <cellStyle name="40% - Accent5 4 2 19" xfId="11877"/>
    <cellStyle name="40% - Accent5 4 2 19 2" xfId="34652"/>
    <cellStyle name="40% - Accent5 4 2 2" xfId="581"/>
    <cellStyle name="40% - Accent5 4 2 2 10" xfId="6814"/>
    <cellStyle name="40% - Accent5 4 2 2 10 2" xfId="29589"/>
    <cellStyle name="40% - Accent5 4 2 2 11" xfId="7470"/>
    <cellStyle name="40% - Accent5 4 2 2 11 2" xfId="30245"/>
    <cellStyle name="40% - Accent5 4 2 2 12" xfId="8126"/>
    <cellStyle name="40% - Accent5 4 2 2 12 2" xfId="30901"/>
    <cellStyle name="40% - Accent5 4 2 2 13" xfId="8782"/>
    <cellStyle name="40% - Accent5 4 2 2 13 2" xfId="31557"/>
    <cellStyle name="40% - Accent5 4 2 2 14" xfId="9438"/>
    <cellStyle name="40% - Accent5 4 2 2 14 2" xfId="32213"/>
    <cellStyle name="40% - Accent5 4 2 2 15" xfId="10094"/>
    <cellStyle name="40% - Accent5 4 2 2 15 2" xfId="32869"/>
    <cellStyle name="40% - Accent5 4 2 2 16" xfId="10750"/>
    <cellStyle name="40% - Accent5 4 2 2 16 2" xfId="33525"/>
    <cellStyle name="40% - Accent5 4 2 2 17" xfId="11406"/>
    <cellStyle name="40% - Accent5 4 2 2 17 2" xfId="34181"/>
    <cellStyle name="40% - Accent5 4 2 2 18" xfId="12062"/>
    <cellStyle name="40% - Accent5 4 2 2 18 2" xfId="34837"/>
    <cellStyle name="40% - Accent5 4 2 2 19" xfId="12718"/>
    <cellStyle name="40% - Accent5 4 2 2 19 2" xfId="35493"/>
    <cellStyle name="40% - Accent5 4 2 2 2" xfId="910"/>
    <cellStyle name="40% - Accent5 4 2 2 2 10" xfId="8454"/>
    <cellStyle name="40% - Accent5 4 2 2 2 10 2" xfId="31229"/>
    <cellStyle name="40% - Accent5 4 2 2 2 11" xfId="9110"/>
    <cellStyle name="40% - Accent5 4 2 2 2 11 2" xfId="31885"/>
    <cellStyle name="40% - Accent5 4 2 2 2 12" xfId="9766"/>
    <cellStyle name="40% - Accent5 4 2 2 2 12 2" xfId="32541"/>
    <cellStyle name="40% - Accent5 4 2 2 2 13" xfId="10422"/>
    <cellStyle name="40% - Accent5 4 2 2 2 13 2" xfId="33197"/>
    <cellStyle name="40% - Accent5 4 2 2 2 14" xfId="11078"/>
    <cellStyle name="40% - Accent5 4 2 2 2 14 2" xfId="33853"/>
    <cellStyle name="40% - Accent5 4 2 2 2 15" xfId="11734"/>
    <cellStyle name="40% - Accent5 4 2 2 2 15 2" xfId="34509"/>
    <cellStyle name="40% - Accent5 4 2 2 2 16" xfId="12390"/>
    <cellStyle name="40% - Accent5 4 2 2 2 16 2" xfId="35165"/>
    <cellStyle name="40% - Accent5 4 2 2 2 17" xfId="13046"/>
    <cellStyle name="40% - Accent5 4 2 2 2 17 2" xfId="35821"/>
    <cellStyle name="40% - Accent5 4 2 2 2 18" xfId="13702"/>
    <cellStyle name="40% - Accent5 4 2 2 2 18 2" xfId="36477"/>
    <cellStyle name="40% - Accent5 4 2 2 2 19" xfId="14358"/>
    <cellStyle name="40% - Accent5 4 2 2 2 19 2" xfId="37133"/>
    <cellStyle name="40% - Accent5 4 2 2 2 2" xfId="1566"/>
    <cellStyle name="40% - Accent5 4 2 2 2 2 2" xfId="3862"/>
    <cellStyle name="40% - Accent5 4 2 2 2 2 2 2" xfId="26637"/>
    <cellStyle name="40% - Accent5 4 2 2 2 2 3" xfId="24341"/>
    <cellStyle name="40% - Accent5 4 2 2 2 20" xfId="15014"/>
    <cellStyle name="40% - Accent5 4 2 2 2 20 2" xfId="37789"/>
    <cellStyle name="40% - Accent5 4 2 2 2 21" xfId="15670"/>
    <cellStyle name="40% - Accent5 4 2 2 2 21 2" xfId="38445"/>
    <cellStyle name="40% - Accent5 4 2 2 2 22" xfId="16326"/>
    <cellStyle name="40% - Accent5 4 2 2 2 22 2" xfId="39101"/>
    <cellStyle name="40% - Accent5 4 2 2 2 23" xfId="16982"/>
    <cellStyle name="40% - Accent5 4 2 2 2 23 2" xfId="39757"/>
    <cellStyle name="40% - Accent5 4 2 2 2 24" xfId="17638"/>
    <cellStyle name="40% - Accent5 4 2 2 2 24 2" xfId="40413"/>
    <cellStyle name="40% - Accent5 4 2 2 2 25" xfId="18294"/>
    <cellStyle name="40% - Accent5 4 2 2 2 25 2" xfId="41069"/>
    <cellStyle name="40% - Accent5 4 2 2 2 26" xfId="18950"/>
    <cellStyle name="40% - Accent5 4 2 2 2 26 2" xfId="41725"/>
    <cellStyle name="40% - Accent5 4 2 2 2 27" xfId="19606"/>
    <cellStyle name="40% - Accent5 4 2 2 2 27 2" xfId="42381"/>
    <cellStyle name="40% - Accent5 4 2 2 2 28" xfId="20262"/>
    <cellStyle name="40% - Accent5 4 2 2 2 28 2" xfId="43037"/>
    <cellStyle name="40% - Accent5 4 2 2 2 29" xfId="20918"/>
    <cellStyle name="40% - Accent5 4 2 2 2 29 2" xfId="43693"/>
    <cellStyle name="40% - Accent5 4 2 2 2 3" xfId="2222"/>
    <cellStyle name="40% - Accent5 4 2 2 2 3 2" xfId="4518"/>
    <cellStyle name="40% - Accent5 4 2 2 2 3 2 2" xfId="27293"/>
    <cellStyle name="40% - Accent5 4 2 2 2 3 3" xfId="24997"/>
    <cellStyle name="40% - Accent5 4 2 2 2 30" xfId="21574"/>
    <cellStyle name="40% - Accent5 4 2 2 2 30 2" xfId="44349"/>
    <cellStyle name="40% - Accent5 4 2 2 2 31" xfId="22230"/>
    <cellStyle name="40% - Accent5 4 2 2 2 31 2" xfId="45005"/>
    <cellStyle name="40% - Accent5 4 2 2 2 32" xfId="22886"/>
    <cellStyle name="40% - Accent5 4 2 2 2 32 2" xfId="45661"/>
    <cellStyle name="40% - Accent5 4 2 2 2 33" xfId="23685"/>
    <cellStyle name="40% - Accent5 4 2 2 2 4" xfId="5174"/>
    <cellStyle name="40% - Accent5 4 2 2 2 4 2" xfId="27949"/>
    <cellStyle name="40% - Accent5 4 2 2 2 5" xfId="5830"/>
    <cellStyle name="40% - Accent5 4 2 2 2 5 2" xfId="28605"/>
    <cellStyle name="40% - Accent5 4 2 2 2 6" xfId="6486"/>
    <cellStyle name="40% - Accent5 4 2 2 2 6 2" xfId="29261"/>
    <cellStyle name="40% - Accent5 4 2 2 2 7" xfId="3206"/>
    <cellStyle name="40% - Accent5 4 2 2 2 7 2" xfId="25981"/>
    <cellStyle name="40% - Accent5 4 2 2 2 8" xfId="7142"/>
    <cellStyle name="40% - Accent5 4 2 2 2 8 2" xfId="29917"/>
    <cellStyle name="40% - Accent5 4 2 2 2 9" xfId="7798"/>
    <cellStyle name="40% - Accent5 4 2 2 2 9 2" xfId="30573"/>
    <cellStyle name="40% - Accent5 4 2 2 20" xfId="13374"/>
    <cellStyle name="40% - Accent5 4 2 2 20 2" xfId="36149"/>
    <cellStyle name="40% - Accent5 4 2 2 21" xfId="14030"/>
    <cellStyle name="40% - Accent5 4 2 2 21 2" xfId="36805"/>
    <cellStyle name="40% - Accent5 4 2 2 22" xfId="14686"/>
    <cellStyle name="40% - Accent5 4 2 2 22 2" xfId="37461"/>
    <cellStyle name="40% - Accent5 4 2 2 23" xfId="15342"/>
    <cellStyle name="40% - Accent5 4 2 2 23 2" xfId="38117"/>
    <cellStyle name="40% - Accent5 4 2 2 24" xfId="15998"/>
    <cellStyle name="40% - Accent5 4 2 2 24 2" xfId="38773"/>
    <cellStyle name="40% - Accent5 4 2 2 25" xfId="16654"/>
    <cellStyle name="40% - Accent5 4 2 2 25 2" xfId="39429"/>
    <cellStyle name="40% - Accent5 4 2 2 26" xfId="17310"/>
    <cellStyle name="40% - Accent5 4 2 2 26 2" xfId="40085"/>
    <cellStyle name="40% - Accent5 4 2 2 27" xfId="17966"/>
    <cellStyle name="40% - Accent5 4 2 2 27 2" xfId="40741"/>
    <cellStyle name="40% - Accent5 4 2 2 28" xfId="18622"/>
    <cellStyle name="40% - Accent5 4 2 2 28 2" xfId="41397"/>
    <cellStyle name="40% - Accent5 4 2 2 29" xfId="19278"/>
    <cellStyle name="40% - Accent5 4 2 2 29 2" xfId="42053"/>
    <cellStyle name="40% - Accent5 4 2 2 3" xfId="1238"/>
    <cellStyle name="40% - Accent5 4 2 2 3 2" xfId="2878"/>
    <cellStyle name="40% - Accent5 4 2 2 3 2 2" xfId="25653"/>
    <cellStyle name="40% - Accent5 4 2 2 3 3" xfId="24013"/>
    <cellStyle name="40% - Accent5 4 2 2 30" xfId="19934"/>
    <cellStyle name="40% - Accent5 4 2 2 30 2" xfId="42709"/>
    <cellStyle name="40% - Accent5 4 2 2 31" xfId="20590"/>
    <cellStyle name="40% - Accent5 4 2 2 31 2" xfId="43365"/>
    <cellStyle name="40% - Accent5 4 2 2 32" xfId="21246"/>
    <cellStyle name="40% - Accent5 4 2 2 32 2" xfId="44021"/>
    <cellStyle name="40% - Accent5 4 2 2 33" xfId="21902"/>
    <cellStyle name="40% - Accent5 4 2 2 33 2" xfId="44677"/>
    <cellStyle name="40% - Accent5 4 2 2 34" xfId="22558"/>
    <cellStyle name="40% - Accent5 4 2 2 34 2" xfId="45333"/>
    <cellStyle name="40% - Accent5 4 2 2 35" xfId="23357"/>
    <cellStyle name="40% - Accent5 4 2 2 4" xfId="1894"/>
    <cellStyle name="40% - Accent5 4 2 2 4 2" xfId="3534"/>
    <cellStyle name="40% - Accent5 4 2 2 4 2 2" xfId="26309"/>
    <cellStyle name="40% - Accent5 4 2 2 4 3" xfId="24669"/>
    <cellStyle name="40% - Accent5 4 2 2 5" xfId="4190"/>
    <cellStyle name="40% - Accent5 4 2 2 5 2" xfId="26965"/>
    <cellStyle name="40% - Accent5 4 2 2 6" xfId="4846"/>
    <cellStyle name="40% - Accent5 4 2 2 6 2" xfId="27621"/>
    <cellStyle name="40% - Accent5 4 2 2 7" xfId="5502"/>
    <cellStyle name="40% - Accent5 4 2 2 7 2" xfId="28277"/>
    <cellStyle name="40% - Accent5 4 2 2 8" xfId="6158"/>
    <cellStyle name="40% - Accent5 4 2 2 8 2" xfId="28933"/>
    <cellStyle name="40% - Accent5 4 2 2 9" xfId="2550"/>
    <cellStyle name="40% - Accent5 4 2 2 9 2" xfId="25325"/>
    <cellStyle name="40% - Accent5 4 2 20" xfId="12533"/>
    <cellStyle name="40% - Accent5 4 2 20 2" xfId="35308"/>
    <cellStyle name="40% - Accent5 4 2 21" xfId="13189"/>
    <cellStyle name="40% - Accent5 4 2 21 2" xfId="35964"/>
    <cellStyle name="40% - Accent5 4 2 22" xfId="13845"/>
    <cellStyle name="40% - Accent5 4 2 22 2" xfId="36620"/>
    <cellStyle name="40% - Accent5 4 2 23" xfId="14501"/>
    <cellStyle name="40% - Accent5 4 2 23 2" xfId="37276"/>
    <cellStyle name="40% - Accent5 4 2 24" xfId="15157"/>
    <cellStyle name="40% - Accent5 4 2 24 2" xfId="37932"/>
    <cellStyle name="40% - Accent5 4 2 25" xfId="15813"/>
    <cellStyle name="40% - Accent5 4 2 25 2" xfId="38588"/>
    <cellStyle name="40% - Accent5 4 2 26" xfId="16469"/>
    <cellStyle name="40% - Accent5 4 2 26 2" xfId="39244"/>
    <cellStyle name="40% - Accent5 4 2 27" xfId="17125"/>
    <cellStyle name="40% - Accent5 4 2 27 2" xfId="39900"/>
    <cellStyle name="40% - Accent5 4 2 28" xfId="17781"/>
    <cellStyle name="40% - Accent5 4 2 28 2" xfId="40556"/>
    <cellStyle name="40% - Accent5 4 2 29" xfId="18437"/>
    <cellStyle name="40% - Accent5 4 2 29 2" xfId="41212"/>
    <cellStyle name="40% - Accent5 4 2 3" xfId="725"/>
    <cellStyle name="40% - Accent5 4 2 3 10" xfId="8269"/>
    <cellStyle name="40% - Accent5 4 2 3 10 2" xfId="31044"/>
    <cellStyle name="40% - Accent5 4 2 3 11" xfId="8925"/>
    <cellStyle name="40% - Accent5 4 2 3 11 2" xfId="31700"/>
    <cellStyle name="40% - Accent5 4 2 3 12" xfId="9581"/>
    <cellStyle name="40% - Accent5 4 2 3 12 2" xfId="32356"/>
    <cellStyle name="40% - Accent5 4 2 3 13" xfId="10237"/>
    <cellStyle name="40% - Accent5 4 2 3 13 2" xfId="33012"/>
    <cellStyle name="40% - Accent5 4 2 3 14" xfId="10893"/>
    <cellStyle name="40% - Accent5 4 2 3 14 2" xfId="33668"/>
    <cellStyle name="40% - Accent5 4 2 3 15" xfId="11549"/>
    <cellStyle name="40% - Accent5 4 2 3 15 2" xfId="34324"/>
    <cellStyle name="40% - Accent5 4 2 3 16" xfId="12205"/>
    <cellStyle name="40% - Accent5 4 2 3 16 2" xfId="34980"/>
    <cellStyle name="40% - Accent5 4 2 3 17" xfId="12861"/>
    <cellStyle name="40% - Accent5 4 2 3 17 2" xfId="35636"/>
    <cellStyle name="40% - Accent5 4 2 3 18" xfId="13517"/>
    <cellStyle name="40% - Accent5 4 2 3 18 2" xfId="36292"/>
    <cellStyle name="40% - Accent5 4 2 3 19" xfId="14173"/>
    <cellStyle name="40% - Accent5 4 2 3 19 2" xfId="36948"/>
    <cellStyle name="40% - Accent5 4 2 3 2" xfId="1381"/>
    <cellStyle name="40% - Accent5 4 2 3 2 2" xfId="3677"/>
    <cellStyle name="40% - Accent5 4 2 3 2 2 2" xfId="26452"/>
    <cellStyle name="40% - Accent5 4 2 3 2 3" xfId="24156"/>
    <cellStyle name="40% - Accent5 4 2 3 20" xfId="14829"/>
    <cellStyle name="40% - Accent5 4 2 3 20 2" xfId="37604"/>
    <cellStyle name="40% - Accent5 4 2 3 21" xfId="15485"/>
    <cellStyle name="40% - Accent5 4 2 3 21 2" xfId="38260"/>
    <cellStyle name="40% - Accent5 4 2 3 22" xfId="16141"/>
    <cellStyle name="40% - Accent5 4 2 3 22 2" xfId="38916"/>
    <cellStyle name="40% - Accent5 4 2 3 23" xfId="16797"/>
    <cellStyle name="40% - Accent5 4 2 3 23 2" xfId="39572"/>
    <cellStyle name="40% - Accent5 4 2 3 24" xfId="17453"/>
    <cellStyle name="40% - Accent5 4 2 3 24 2" xfId="40228"/>
    <cellStyle name="40% - Accent5 4 2 3 25" xfId="18109"/>
    <cellStyle name="40% - Accent5 4 2 3 25 2" xfId="40884"/>
    <cellStyle name="40% - Accent5 4 2 3 26" xfId="18765"/>
    <cellStyle name="40% - Accent5 4 2 3 26 2" xfId="41540"/>
    <cellStyle name="40% - Accent5 4 2 3 27" xfId="19421"/>
    <cellStyle name="40% - Accent5 4 2 3 27 2" xfId="42196"/>
    <cellStyle name="40% - Accent5 4 2 3 28" xfId="20077"/>
    <cellStyle name="40% - Accent5 4 2 3 28 2" xfId="42852"/>
    <cellStyle name="40% - Accent5 4 2 3 29" xfId="20733"/>
    <cellStyle name="40% - Accent5 4 2 3 29 2" xfId="43508"/>
    <cellStyle name="40% - Accent5 4 2 3 3" xfId="2037"/>
    <cellStyle name="40% - Accent5 4 2 3 3 2" xfId="4333"/>
    <cellStyle name="40% - Accent5 4 2 3 3 2 2" xfId="27108"/>
    <cellStyle name="40% - Accent5 4 2 3 3 3" xfId="24812"/>
    <cellStyle name="40% - Accent5 4 2 3 30" xfId="21389"/>
    <cellStyle name="40% - Accent5 4 2 3 30 2" xfId="44164"/>
    <cellStyle name="40% - Accent5 4 2 3 31" xfId="22045"/>
    <cellStyle name="40% - Accent5 4 2 3 31 2" xfId="44820"/>
    <cellStyle name="40% - Accent5 4 2 3 32" xfId="22701"/>
    <cellStyle name="40% - Accent5 4 2 3 32 2" xfId="45476"/>
    <cellStyle name="40% - Accent5 4 2 3 33" xfId="23500"/>
    <cellStyle name="40% - Accent5 4 2 3 4" xfId="4989"/>
    <cellStyle name="40% - Accent5 4 2 3 4 2" xfId="27764"/>
    <cellStyle name="40% - Accent5 4 2 3 5" xfId="5645"/>
    <cellStyle name="40% - Accent5 4 2 3 5 2" xfId="28420"/>
    <cellStyle name="40% - Accent5 4 2 3 6" xfId="6301"/>
    <cellStyle name="40% - Accent5 4 2 3 6 2" xfId="29076"/>
    <cellStyle name="40% - Accent5 4 2 3 7" xfId="3021"/>
    <cellStyle name="40% - Accent5 4 2 3 7 2" xfId="25796"/>
    <cellStyle name="40% - Accent5 4 2 3 8" xfId="6957"/>
    <cellStyle name="40% - Accent5 4 2 3 8 2" xfId="29732"/>
    <cellStyle name="40% - Accent5 4 2 3 9" xfId="7613"/>
    <cellStyle name="40% - Accent5 4 2 3 9 2" xfId="30388"/>
    <cellStyle name="40% - Accent5 4 2 30" xfId="19093"/>
    <cellStyle name="40% - Accent5 4 2 30 2" xfId="41868"/>
    <cellStyle name="40% - Accent5 4 2 31" xfId="19749"/>
    <cellStyle name="40% - Accent5 4 2 31 2" xfId="42524"/>
    <cellStyle name="40% - Accent5 4 2 32" xfId="20405"/>
    <cellStyle name="40% - Accent5 4 2 32 2" xfId="43180"/>
    <cellStyle name="40% - Accent5 4 2 33" xfId="21061"/>
    <cellStyle name="40% - Accent5 4 2 33 2" xfId="43836"/>
    <cellStyle name="40% - Accent5 4 2 34" xfId="21717"/>
    <cellStyle name="40% - Accent5 4 2 34 2" xfId="44492"/>
    <cellStyle name="40% - Accent5 4 2 35" xfId="22373"/>
    <cellStyle name="40% - Accent5 4 2 35 2" xfId="45148"/>
    <cellStyle name="40% - Accent5 4 2 36" xfId="23029"/>
    <cellStyle name="40% - Accent5 4 2 4" xfId="398"/>
    <cellStyle name="40% - Accent5 4 2 4 2" xfId="2693"/>
    <cellStyle name="40% - Accent5 4 2 4 2 2" xfId="25468"/>
    <cellStyle name="40% - Accent5 4 2 4 3" xfId="23172"/>
    <cellStyle name="40% - Accent5 4 2 5" xfId="1053"/>
    <cellStyle name="40% - Accent5 4 2 5 2" xfId="3349"/>
    <cellStyle name="40% - Accent5 4 2 5 2 2" xfId="26124"/>
    <cellStyle name="40% - Accent5 4 2 5 3" xfId="23828"/>
    <cellStyle name="40% - Accent5 4 2 6" xfId="1709"/>
    <cellStyle name="40% - Accent5 4 2 6 2" xfId="4005"/>
    <cellStyle name="40% - Accent5 4 2 6 2 2" xfId="26780"/>
    <cellStyle name="40% - Accent5 4 2 6 3" xfId="24484"/>
    <cellStyle name="40% - Accent5 4 2 7" xfId="4661"/>
    <cellStyle name="40% - Accent5 4 2 7 2" xfId="27436"/>
    <cellStyle name="40% - Accent5 4 2 8" xfId="5317"/>
    <cellStyle name="40% - Accent5 4 2 8 2" xfId="28092"/>
    <cellStyle name="40% - Accent5 4 2 9" xfId="5973"/>
    <cellStyle name="40% - Accent5 4 2 9 2" xfId="28748"/>
    <cellStyle name="40% - Accent5 4 20" xfId="11806"/>
    <cellStyle name="40% - Accent5 4 20 2" xfId="34581"/>
    <cellStyle name="40% - Accent5 4 21" xfId="12462"/>
    <cellStyle name="40% - Accent5 4 21 2" xfId="35237"/>
    <cellStyle name="40% - Accent5 4 22" xfId="13118"/>
    <cellStyle name="40% - Accent5 4 22 2" xfId="35893"/>
    <cellStyle name="40% - Accent5 4 23" xfId="13774"/>
    <cellStyle name="40% - Accent5 4 23 2" xfId="36549"/>
    <cellStyle name="40% - Accent5 4 24" xfId="14430"/>
    <cellStyle name="40% - Accent5 4 24 2" xfId="37205"/>
    <cellStyle name="40% - Accent5 4 25" xfId="15086"/>
    <cellStyle name="40% - Accent5 4 25 2" xfId="37861"/>
    <cellStyle name="40% - Accent5 4 26" xfId="15742"/>
    <cellStyle name="40% - Accent5 4 26 2" xfId="38517"/>
    <cellStyle name="40% - Accent5 4 27" xfId="16398"/>
    <cellStyle name="40% - Accent5 4 27 2" xfId="39173"/>
    <cellStyle name="40% - Accent5 4 28" xfId="17054"/>
    <cellStyle name="40% - Accent5 4 28 2" xfId="39829"/>
    <cellStyle name="40% - Accent5 4 29" xfId="17710"/>
    <cellStyle name="40% - Accent5 4 29 2" xfId="40485"/>
    <cellStyle name="40% - Accent5 4 3" xfId="511"/>
    <cellStyle name="40% - Accent5 4 3 10" xfId="6743"/>
    <cellStyle name="40% - Accent5 4 3 10 2" xfId="29518"/>
    <cellStyle name="40% - Accent5 4 3 11" xfId="7399"/>
    <cellStyle name="40% - Accent5 4 3 11 2" xfId="30174"/>
    <cellStyle name="40% - Accent5 4 3 12" xfId="8055"/>
    <cellStyle name="40% - Accent5 4 3 12 2" xfId="30830"/>
    <cellStyle name="40% - Accent5 4 3 13" xfId="8711"/>
    <cellStyle name="40% - Accent5 4 3 13 2" xfId="31486"/>
    <cellStyle name="40% - Accent5 4 3 14" xfId="9367"/>
    <cellStyle name="40% - Accent5 4 3 14 2" xfId="32142"/>
    <cellStyle name="40% - Accent5 4 3 15" xfId="10023"/>
    <cellStyle name="40% - Accent5 4 3 15 2" xfId="32798"/>
    <cellStyle name="40% - Accent5 4 3 16" xfId="10679"/>
    <cellStyle name="40% - Accent5 4 3 16 2" xfId="33454"/>
    <cellStyle name="40% - Accent5 4 3 17" xfId="11335"/>
    <cellStyle name="40% - Accent5 4 3 17 2" xfId="34110"/>
    <cellStyle name="40% - Accent5 4 3 18" xfId="11991"/>
    <cellStyle name="40% - Accent5 4 3 18 2" xfId="34766"/>
    <cellStyle name="40% - Accent5 4 3 19" xfId="12647"/>
    <cellStyle name="40% - Accent5 4 3 19 2" xfId="35422"/>
    <cellStyle name="40% - Accent5 4 3 2" xfId="839"/>
    <cellStyle name="40% - Accent5 4 3 2 10" xfId="8383"/>
    <cellStyle name="40% - Accent5 4 3 2 10 2" xfId="31158"/>
    <cellStyle name="40% - Accent5 4 3 2 11" xfId="9039"/>
    <cellStyle name="40% - Accent5 4 3 2 11 2" xfId="31814"/>
    <cellStyle name="40% - Accent5 4 3 2 12" xfId="9695"/>
    <cellStyle name="40% - Accent5 4 3 2 12 2" xfId="32470"/>
    <cellStyle name="40% - Accent5 4 3 2 13" xfId="10351"/>
    <cellStyle name="40% - Accent5 4 3 2 13 2" xfId="33126"/>
    <cellStyle name="40% - Accent5 4 3 2 14" xfId="11007"/>
    <cellStyle name="40% - Accent5 4 3 2 14 2" xfId="33782"/>
    <cellStyle name="40% - Accent5 4 3 2 15" xfId="11663"/>
    <cellStyle name="40% - Accent5 4 3 2 15 2" xfId="34438"/>
    <cellStyle name="40% - Accent5 4 3 2 16" xfId="12319"/>
    <cellStyle name="40% - Accent5 4 3 2 16 2" xfId="35094"/>
    <cellStyle name="40% - Accent5 4 3 2 17" xfId="12975"/>
    <cellStyle name="40% - Accent5 4 3 2 17 2" xfId="35750"/>
    <cellStyle name="40% - Accent5 4 3 2 18" xfId="13631"/>
    <cellStyle name="40% - Accent5 4 3 2 18 2" xfId="36406"/>
    <cellStyle name="40% - Accent5 4 3 2 19" xfId="14287"/>
    <cellStyle name="40% - Accent5 4 3 2 19 2" xfId="37062"/>
    <cellStyle name="40% - Accent5 4 3 2 2" xfId="1495"/>
    <cellStyle name="40% - Accent5 4 3 2 2 2" xfId="3791"/>
    <cellStyle name="40% - Accent5 4 3 2 2 2 2" xfId="26566"/>
    <cellStyle name="40% - Accent5 4 3 2 2 3" xfId="24270"/>
    <cellStyle name="40% - Accent5 4 3 2 20" xfId="14943"/>
    <cellStyle name="40% - Accent5 4 3 2 20 2" xfId="37718"/>
    <cellStyle name="40% - Accent5 4 3 2 21" xfId="15599"/>
    <cellStyle name="40% - Accent5 4 3 2 21 2" xfId="38374"/>
    <cellStyle name="40% - Accent5 4 3 2 22" xfId="16255"/>
    <cellStyle name="40% - Accent5 4 3 2 22 2" xfId="39030"/>
    <cellStyle name="40% - Accent5 4 3 2 23" xfId="16911"/>
    <cellStyle name="40% - Accent5 4 3 2 23 2" xfId="39686"/>
    <cellStyle name="40% - Accent5 4 3 2 24" xfId="17567"/>
    <cellStyle name="40% - Accent5 4 3 2 24 2" xfId="40342"/>
    <cellStyle name="40% - Accent5 4 3 2 25" xfId="18223"/>
    <cellStyle name="40% - Accent5 4 3 2 25 2" xfId="40998"/>
    <cellStyle name="40% - Accent5 4 3 2 26" xfId="18879"/>
    <cellStyle name="40% - Accent5 4 3 2 26 2" xfId="41654"/>
    <cellStyle name="40% - Accent5 4 3 2 27" xfId="19535"/>
    <cellStyle name="40% - Accent5 4 3 2 27 2" xfId="42310"/>
    <cellStyle name="40% - Accent5 4 3 2 28" xfId="20191"/>
    <cellStyle name="40% - Accent5 4 3 2 28 2" xfId="42966"/>
    <cellStyle name="40% - Accent5 4 3 2 29" xfId="20847"/>
    <cellStyle name="40% - Accent5 4 3 2 29 2" xfId="43622"/>
    <cellStyle name="40% - Accent5 4 3 2 3" xfId="2151"/>
    <cellStyle name="40% - Accent5 4 3 2 3 2" xfId="4447"/>
    <cellStyle name="40% - Accent5 4 3 2 3 2 2" xfId="27222"/>
    <cellStyle name="40% - Accent5 4 3 2 3 3" xfId="24926"/>
    <cellStyle name="40% - Accent5 4 3 2 30" xfId="21503"/>
    <cellStyle name="40% - Accent5 4 3 2 30 2" xfId="44278"/>
    <cellStyle name="40% - Accent5 4 3 2 31" xfId="22159"/>
    <cellStyle name="40% - Accent5 4 3 2 31 2" xfId="44934"/>
    <cellStyle name="40% - Accent5 4 3 2 32" xfId="22815"/>
    <cellStyle name="40% - Accent5 4 3 2 32 2" xfId="45590"/>
    <cellStyle name="40% - Accent5 4 3 2 33" xfId="23614"/>
    <cellStyle name="40% - Accent5 4 3 2 4" xfId="5103"/>
    <cellStyle name="40% - Accent5 4 3 2 4 2" xfId="27878"/>
    <cellStyle name="40% - Accent5 4 3 2 5" xfId="5759"/>
    <cellStyle name="40% - Accent5 4 3 2 5 2" xfId="28534"/>
    <cellStyle name="40% - Accent5 4 3 2 6" xfId="6415"/>
    <cellStyle name="40% - Accent5 4 3 2 6 2" xfId="29190"/>
    <cellStyle name="40% - Accent5 4 3 2 7" xfId="3135"/>
    <cellStyle name="40% - Accent5 4 3 2 7 2" xfId="25910"/>
    <cellStyle name="40% - Accent5 4 3 2 8" xfId="7071"/>
    <cellStyle name="40% - Accent5 4 3 2 8 2" xfId="29846"/>
    <cellStyle name="40% - Accent5 4 3 2 9" xfId="7727"/>
    <cellStyle name="40% - Accent5 4 3 2 9 2" xfId="30502"/>
    <cellStyle name="40% - Accent5 4 3 20" xfId="13303"/>
    <cellStyle name="40% - Accent5 4 3 20 2" xfId="36078"/>
    <cellStyle name="40% - Accent5 4 3 21" xfId="13959"/>
    <cellStyle name="40% - Accent5 4 3 21 2" xfId="36734"/>
    <cellStyle name="40% - Accent5 4 3 22" xfId="14615"/>
    <cellStyle name="40% - Accent5 4 3 22 2" xfId="37390"/>
    <cellStyle name="40% - Accent5 4 3 23" xfId="15271"/>
    <cellStyle name="40% - Accent5 4 3 23 2" xfId="38046"/>
    <cellStyle name="40% - Accent5 4 3 24" xfId="15927"/>
    <cellStyle name="40% - Accent5 4 3 24 2" xfId="38702"/>
    <cellStyle name="40% - Accent5 4 3 25" xfId="16583"/>
    <cellStyle name="40% - Accent5 4 3 25 2" xfId="39358"/>
    <cellStyle name="40% - Accent5 4 3 26" xfId="17239"/>
    <cellStyle name="40% - Accent5 4 3 26 2" xfId="40014"/>
    <cellStyle name="40% - Accent5 4 3 27" xfId="17895"/>
    <cellStyle name="40% - Accent5 4 3 27 2" xfId="40670"/>
    <cellStyle name="40% - Accent5 4 3 28" xfId="18551"/>
    <cellStyle name="40% - Accent5 4 3 28 2" xfId="41326"/>
    <cellStyle name="40% - Accent5 4 3 29" xfId="19207"/>
    <cellStyle name="40% - Accent5 4 3 29 2" xfId="41982"/>
    <cellStyle name="40% - Accent5 4 3 3" xfId="1167"/>
    <cellStyle name="40% - Accent5 4 3 3 2" xfId="2807"/>
    <cellStyle name="40% - Accent5 4 3 3 2 2" xfId="25582"/>
    <cellStyle name="40% - Accent5 4 3 3 3" xfId="23942"/>
    <cellStyle name="40% - Accent5 4 3 30" xfId="19863"/>
    <cellStyle name="40% - Accent5 4 3 30 2" xfId="42638"/>
    <cellStyle name="40% - Accent5 4 3 31" xfId="20519"/>
    <cellStyle name="40% - Accent5 4 3 31 2" xfId="43294"/>
    <cellStyle name="40% - Accent5 4 3 32" xfId="21175"/>
    <cellStyle name="40% - Accent5 4 3 32 2" xfId="43950"/>
    <cellStyle name="40% - Accent5 4 3 33" xfId="21831"/>
    <cellStyle name="40% - Accent5 4 3 33 2" xfId="44606"/>
    <cellStyle name="40% - Accent5 4 3 34" xfId="22487"/>
    <cellStyle name="40% - Accent5 4 3 34 2" xfId="45262"/>
    <cellStyle name="40% - Accent5 4 3 35" xfId="23286"/>
    <cellStyle name="40% - Accent5 4 3 4" xfId="1823"/>
    <cellStyle name="40% - Accent5 4 3 4 2" xfId="3463"/>
    <cellStyle name="40% - Accent5 4 3 4 2 2" xfId="26238"/>
    <cellStyle name="40% - Accent5 4 3 4 3" xfId="24598"/>
    <cellStyle name="40% - Accent5 4 3 5" xfId="4119"/>
    <cellStyle name="40% - Accent5 4 3 5 2" xfId="26894"/>
    <cellStyle name="40% - Accent5 4 3 6" xfId="4775"/>
    <cellStyle name="40% - Accent5 4 3 6 2" xfId="27550"/>
    <cellStyle name="40% - Accent5 4 3 7" xfId="5431"/>
    <cellStyle name="40% - Accent5 4 3 7 2" xfId="28206"/>
    <cellStyle name="40% - Accent5 4 3 8" xfId="6087"/>
    <cellStyle name="40% - Accent5 4 3 8 2" xfId="28862"/>
    <cellStyle name="40% - Accent5 4 3 9" xfId="2479"/>
    <cellStyle name="40% - Accent5 4 3 9 2" xfId="25254"/>
    <cellStyle name="40% - Accent5 4 30" xfId="18366"/>
    <cellStyle name="40% - Accent5 4 30 2" xfId="41141"/>
    <cellStyle name="40% - Accent5 4 31" xfId="19022"/>
    <cellStyle name="40% - Accent5 4 31 2" xfId="41797"/>
    <cellStyle name="40% - Accent5 4 32" xfId="19678"/>
    <cellStyle name="40% - Accent5 4 32 2" xfId="42453"/>
    <cellStyle name="40% - Accent5 4 33" xfId="20334"/>
    <cellStyle name="40% - Accent5 4 33 2" xfId="43109"/>
    <cellStyle name="40% - Accent5 4 34" xfId="20990"/>
    <cellStyle name="40% - Accent5 4 34 2" xfId="43765"/>
    <cellStyle name="40% - Accent5 4 35" xfId="21646"/>
    <cellStyle name="40% - Accent5 4 35 2" xfId="44421"/>
    <cellStyle name="40% - Accent5 4 36" xfId="22302"/>
    <cellStyle name="40% - Accent5 4 36 2" xfId="45077"/>
    <cellStyle name="40% - Accent5 4 37" xfId="241"/>
    <cellStyle name="40% - Accent5 4 38" xfId="22958"/>
    <cellStyle name="40% - Accent5 4 4" xfId="654"/>
    <cellStyle name="40% - Accent5 4 4 10" xfId="8198"/>
    <cellStyle name="40% - Accent5 4 4 10 2" xfId="30973"/>
    <cellStyle name="40% - Accent5 4 4 11" xfId="8854"/>
    <cellStyle name="40% - Accent5 4 4 11 2" xfId="31629"/>
    <cellStyle name="40% - Accent5 4 4 12" xfId="9510"/>
    <cellStyle name="40% - Accent5 4 4 12 2" xfId="32285"/>
    <cellStyle name="40% - Accent5 4 4 13" xfId="10166"/>
    <cellStyle name="40% - Accent5 4 4 13 2" xfId="32941"/>
    <cellStyle name="40% - Accent5 4 4 14" xfId="10822"/>
    <cellStyle name="40% - Accent5 4 4 14 2" xfId="33597"/>
    <cellStyle name="40% - Accent5 4 4 15" xfId="11478"/>
    <cellStyle name="40% - Accent5 4 4 15 2" xfId="34253"/>
    <cellStyle name="40% - Accent5 4 4 16" xfId="12134"/>
    <cellStyle name="40% - Accent5 4 4 16 2" xfId="34909"/>
    <cellStyle name="40% - Accent5 4 4 17" xfId="12790"/>
    <cellStyle name="40% - Accent5 4 4 17 2" xfId="35565"/>
    <cellStyle name="40% - Accent5 4 4 18" xfId="13446"/>
    <cellStyle name="40% - Accent5 4 4 18 2" xfId="36221"/>
    <cellStyle name="40% - Accent5 4 4 19" xfId="14102"/>
    <cellStyle name="40% - Accent5 4 4 19 2" xfId="36877"/>
    <cellStyle name="40% - Accent5 4 4 2" xfId="1310"/>
    <cellStyle name="40% - Accent5 4 4 2 2" xfId="3606"/>
    <cellStyle name="40% - Accent5 4 4 2 2 2" xfId="26381"/>
    <cellStyle name="40% - Accent5 4 4 2 3" xfId="24085"/>
    <cellStyle name="40% - Accent5 4 4 20" xfId="14758"/>
    <cellStyle name="40% - Accent5 4 4 20 2" xfId="37533"/>
    <cellStyle name="40% - Accent5 4 4 21" xfId="15414"/>
    <cellStyle name="40% - Accent5 4 4 21 2" xfId="38189"/>
    <cellStyle name="40% - Accent5 4 4 22" xfId="16070"/>
    <cellStyle name="40% - Accent5 4 4 22 2" xfId="38845"/>
    <cellStyle name="40% - Accent5 4 4 23" xfId="16726"/>
    <cellStyle name="40% - Accent5 4 4 23 2" xfId="39501"/>
    <cellStyle name="40% - Accent5 4 4 24" xfId="17382"/>
    <cellStyle name="40% - Accent5 4 4 24 2" xfId="40157"/>
    <cellStyle name="40% - Accent5 4 4 25" xfId="18038"/>
    <cellStyle name="40% - Accent5 4 4 25 2" xfId="40813"/>
    <cellStyle name="40% - Accent5 4 4 26" xfId="18694"/>
    <cellStyle name="40% - Accent5 4 4 26 2" xfId="41469"/>
    <cellStyle name="40% - Accent5 4 4 27" xfId="19350"/>
    <cellStyle name="40% - Accent5 4 4 27 2" xfId="42125"/>
    <cellStyle name="40% - Accent5 4 4 28" xfId="20006"/>
    <cellStyle name="40% - Accent5 4 4 28 2" xfId="42781"/>
    <cellStyle name="40% - Accent5 4 4 29" xfId="20662"/>
    <cellStyle name="40% - Accent5 4 4 29 2" xfId="43437"/>
    <cellStyle name="40% - Accent5 4 4 3" xfId="1966"/>
    <cellStyle name="40% - Accent5 4 4 3 2" xfId="4262"/>
    <cellStyle name="40% - Accent5 4 4 3 2 2" xfId="27037"/>
    <cellStyle name="40% - Accent5 4 4 3 3" xfId="24741"/>
    <cellStyle name="40% - Accent5 4 4 30" xfId="21318"/>
    <cellStyle name="40% - Accent5 4 4 30 2" xfId="44093"/>
    <cellStyle name="40% - Accent5 4 4 31" xfId="21974"/>
    <cellStyle name="40% - Accent5 4 4 31 2" xfId="44749"/>
    <cellStyle name="40% - Accent5 4 4 32" xfId="22630"/>
    <cellStyle name="40% - Accent5 4 4 32 2" xfId="45405"/>
    <cellStyle name="40% - Accent5 4 4 33" xfId="23429"/>
    <cellStyle name="40% - Accent5 4 4 4" xfId="4918"/>
    <cellStyle name="40% - Accent5 4 4 4 2" xfId="27693"/>
    <cellStyle name="40% - Accent5 4 4 5" xfId="5574"/>
    <cellStyle name="40% - Accent5 4 4 5 2" xfId="28349"/>
    <cellStyle name="40% - Accent5 4 4 6" xfId="6230"/>
    <cellStyle name="40% - Accent5 4 4 6 2" xfId="29005"/>
    <cellStyle name="40% - Accent5 4 4 7" xfId="2950"/>
    <cellStyle name="40% - Accent5 4 4 7 2" xfId="25725"/>
    <cellStyle name="40% - Accent5 4 4 8" xfId="6886"/>
    <cellStyle name="40% - Accent5 4 4 8 2" xfId="29661"/>
    <cellStyle name="40% - Accent5 4 4 9" xfId="7542"/>
    <cellStyle name="40% - Accent5 4 4 9 2" xfId="30317"/>
    <cellStyle name="40% - Accent5 4 5" xfId="327"/>
    <cellStyle name="40% - Accent5 4 5 2" xfId="2622"/>
    <cellStyle name="40% - Accent5 4 5 2 2" xfId="25397"/>
    <cellStyle name="40% - Accent5 4 5 3" xfId="23101"/>
    <cellStyle name="40% - Accent5 4 6" xfId="982"/>
    <cellStyle name="40% - Accent5 4 6 2" xfId="3278"/>
    <cellStyle name="40% - Accent5 4 6 2 2" xfId="26053"/>
    <cellStyle name="40% - Accent5 4 6 3" xfId="23757"/>
    <cellStyle name="40% - Accent5 4 7" xfId="1638"/>
    <cellStyle name="40% - Accent5 4 7 2" xfId="3934"/>
    <cellStyle name="40% - Accent5 4 7 2 2" xfId="26709"/>
    <cellStyle name="40% - Accent5 4 7 3" xfId="24413"/>
    <cellStyle name="40% - Accent5 4 8" xfId="4590"/>
    <cellStyle name="40% - Accent5 4 8 2" xfId="27365"/>
    <cellStyle name="40% - Accent5 4 9" xfId="5246"/>
    <cellStyle name="40% - Accent5 4 9 2" xfId="28021"/>
    <cellStyle name="40% - Accent5 40" xfId="20289"/>
    <cellStyle name="40% - Accent5 40 2" xfId="43064"/>
    <cellStyle name="40% - Accent5 41" xfId="20945"/>
    <cellStyle name="40% - Accent5 41 2" xfId="43720"/>
    <cellStyle name="40% - Accent5 42" xfId="21601"/>
    <cellStyle name="40% - Accent5 42 2" xfId="44376"/>
    <cellStyle name="40% - Accent5 43" xfId="22257"/>
    <cellStyle name="40% - Accent5 43 2" xfId="45032"/>
    <cellStyle name="40% - Accent5 44" xfId="196"/>
    <cellStyle name="40% - Accent5 45" xfId="22913"/>
    <cellStyle name="40% - Accent5 5" xfId="110"/>
    <cellStyle name="40% - Accent5 5 10" xfId="5916"/>
    <cellStyle name="40% - Accent5 5 10 2" xfId="28691"/>
    <cellStyle name="40% - Accent5 5 11" xfId="2308"/>
    <cellStyle name="40% - Accent5 5 11 2" xfId="25083"/>
    <cellStyle name="40% - Accent5 5 12" xfId="6572"/>
    <cellStyle name="40% - Accent5 5 12 2" xfId="29347"/>
    <cellStyle name="40% - Accent5 5 13" xfId="7228"/>
    <cellStyle name="40% - Accent5 5 13 2" xfId="30003"/>
    <cellStyle name="40% - Accent5 5 14" xfId="7884"/>
    <cellStyle name="40% - Accent5 5 14 2" xfId="30659"/>
    <cellStyle name="40% - Accent5 5 15" xfId="8540"/>
    <cellStyle name="40% - Accent5 5 15 2" xfId="31315"/>
    <cellStyle name="40% - Accent5 5 16" xfId="9196"/>
    <cellStyle name="40% - Accent5 5 16 2" xfId="31971"/>
    <cellStyle name="40% - Accent5 5 17" xfId="9852"/>
    <cellStyle name="40% - Accent5 5 17 2" xfId="32627"/>
    <cellStyle name="40% - Accent5 5 18" xfId="10508"/>
    <cellStyle name="40% - Accent5 5 18 2" xfId="33283"/>
    <cellStyle name="40% - Accent5 5 19" xfId="11164"/>
    <cellStyle name="40% - Accent5 5 19 2" xfId="33939"/>
    <cellStyle name="40% - Accent5 5 2" xfId="181"/>
    <cellStyle name="40% - Accent5 5 2 10" xfId="2379"/>
    <cellStyle name="40% - Accent5 5 2 10 2" xfId="25154"/>
    <cellStyle name="40% - Accent5 5 2 11" xfId="6643"/>
    <cellStyle name="40% - Accent5 5 2 11 2" xfId="29418"/>
    <cellStyle name="40% - Accent5 5 2 12" xfId="7299"/>
    <cellStyle name="40% - Accent5 5 2 12 2" xfId="30074"/>
    <cellStyle name="40% - Accent5 5 2 13" xfId="7955"/>
    <cellStyle name="40% - Accent5 5 2 13 2" xfId="30730"/>
    <cellStyle name="40% - Accent5 5 2 14" xfId="8611"/>
    <cellStyle name="40% - Accent5 5 2 14 2" xfId="31386"/>
    <cellStyle name="40% - Accent5 5 2 15" xfId="9267"/>
    <cellStyle name="40% - Accent5 5 2 15 2" xfId="32042"/>
    <cellStyle name="40% - Accent5 5 2 16" xfId="9923"/>
    <cellStyle name="40% - Accent5 5 2 16 2" xfId="32698"/>
    <cellStyle name="40% - Accent5 5 2 17" xfId="10579"/>
    <cellStyle name="40% - Accent5 5 2 17 2" xfId="33354"/>
    <cellStyle name="40% - Accent5 5 2 18" xfId="11235"/>
    <cellStyle name="40% - Accent5 5 2 18 2" xfId="34010"/>
    <cellStyle name="40% - Accent5 5 2 19" xfId="11891"/>
    <cellStyle name="40% - Accent5 5 2 19 2" xfId="34666"/>
    <cellStyle name="40% - Accent5 5 2 2" xfId="595"/>
    <cellStyle name="40% - Accent5 5 2 2 10" xfId="6828"/>
    <cellStyle name="40% - Accent5 5 2 2 10 2" xfId="29603"/>
    <cellStyle name="40% - Accent5 5 2 2 11" xfId="7484"/>
    <cellStyle name="40% - Accent5 5 2 2 11 2" xfId="30259"/>
    <cellStyle name="40% - Accent5 5 2 2 12" xfId="8140"/>
    <cellStyle name="40% - Accent5 5 2 2 12 2" xfId="30915"/>
    <cellStyle name="40% - Accent5 5 2 2 13" xfId="8796"/>
    <cellStyle name="40% - Accent5 5 2 2 13 2" xfId="31571"/>
    <cellStyle name="40% - Accent5 5 2 2 14" xfId="9452"/>
    <cellStyle name="40% - Accent5 5 2 2 14 2" xfId="32227"/>
    <cellStyle name="40% - Accent5 5 2 2 15" xfId="10108"/>
    <cellStyle name="40% - Accent5 5 2 2 15 2" xfId="32883"/>
    <cellStyle name="40% - Accent5 5 2 2 16" xfId="10764"/>
    <cellStyle name="40% - Accent5 5 2 2 16 2" xfId="33539"/>
    <cellStyle name="40% - Accent5 5 2 2 17" xfId="11420"/>
    <cellStyle name="40% - Accent5 5 2 2 17 2" xfId="34195"/>
    <cellStyle name="40% - Accent5 5 2 2 18" xfId="12076"/>
    <cellStyle name="40% - Accent5 5 2 2 18 2" xfId="34851"/>
    <cellStyle name="40% - Accent5 5 2 2 19" xfId="12732"/>
    <cellStyle name="40% - Accent5 5 2 2 19 2" xfId="35507"/>
    <cellStyle name="40% - Accent5 5 2 2 2" xfId="924"/>
    <cellStyle name="40% - Accent5 5 2 2 2 10" xfId="8468"/>
    <cellStyle name="40% - Accent5 5 2 2 2 10 2" xfId="31243"/>
    <cellStyle name="40% - Accent5 5 2 2 2 11" xfId="9124"/>
    <cellStyle name="40% - Accent5 5 2 2 2 11 2" xfId="31899"/>
    <cellStyle name="40% - Accent5 5 2 2 2 12" xfId="9780"/>
    <cellStyle name="40% - Accent5 5 2 2 2 12 2" xfId="32555"/>
    <cellStyle name="40% - Accent5 5 2 2 2 13" xfId="10436"/>
    <cellStyle name="40% - Accent5 5 2 2 2 13 2" xfId="33211"/>
    <cellStyle name="40% - Accent5 5 2 2 2 14" xfId="11092"/>
    <cellStyle name="40% - Accent5 5 2 2 2 14 2" xfId="33867"/>
    <cellStyle name="40% - Accent5 5 2 2 2 15" xfId="11748"/>
    <cellStyle name="40% - Accent5 5 2 2 2 15 2" xfId="34523"/>
    <cellStyle name="40% - Accent5 5 2 2 2 16" xfId="12404"/>
    <cellStyle name="40% - Accent5 5 2 2 2 16 2" xfId="35179"/>
    <cellStyle name="40% - Accent5 5 2 2 2 17" xfId="13060"/>
    <cellStyle name="40% - Accent5 5 2 2 2 17 2" xfId="35835"/>
    <cellStyle name="40% - Accent5 5 2 2 2 18" xfId="13716"/>
    <cellStyle name="40% - Accent5 5 2 2 2 18 2" xfId="36491"/>
    <cellStyle name="40% - Accent5 5 2 2 2 19" xfId="14372"/>
    <cellStyle name="40% - Accent5 5 2 2 2 19 2" xfId="37147"/>
    <cellStyle name="40% - Accent5 5 2 2 2 2" xfId="1580"/>
    <cellStyle name="40% - Accent5 5 2 2 2 2 2" xfId="3876"/>
    <cellStyle name="40% - Accent5 5 2 2 2 2 2 2" xfId="26651"/>
    <cellStyle name="40% - Accent5 5 2 2 2 2 3" xfId="24355"/>
    <cellStyle name="40% - Accent5 5 2 2 2 20" xfId="15028"/>
    <cellStyle name="40% - Accent5 5 2 2 2 20 2" xfId="37803"/>
    <cellStyle name="40% - Accent5 5 2 2 2 21" xfId="15684"/>
    <cellStyle name="40% - Accent5 5 2 2 2 21 2" xfId="38459"/>
    <cellStyle name="40% - Accent5 5 2 2 2 22" xfId="16340"/>
    <cellStyle name="40% - Accent5 5 2 2 2 22 2" xfId="39115"/>
    <cellStyle name="40% - Accent5 5 2 2 2 23" xfId="16996"/>
    <cellStyle name="40% - Accent5 5 2 2 2 23 2" xfId="39771"/>
    <cellStyle name="40% - Accent5 5 2 2 2 24" xfId="17652"/>
    <cellStyle name="40% - Accent5 5 2 2 2 24 2" xfId="40427"/>
    <cellStyle name="40% - Accent5 5 2 2 2 25" xfId="18308"/>
    <cellStyle name="40% - Accent5 5 2 2 2 25 2" xfId="41083"/>
    <cellStyle name="40% - Accent5 5 2 2 2 26" xfId="18964"/>
    <cellStyle name="40% - Accent5 5 2 2 2 26 2" xfId="41739"/>
    <cellStyle name="40% - Accent5 5 2 2 2 27" xfId="19620"/>
    <cellStyle name="40% - Accent5 5 2 2 2 27 2" xfId="42395"/>
    <cellStyle name="40% - Accent5 5 2 2 2 28" xfId="20276"/>
    <cellStyle name="40% - Accent5 5 2 2 2 28 2" xfId="43051"/>
    <cellStyle name="40% - Accent5 5 2 2 2 29" xfId="20932"/>
    <cellStyle name="40% - Accent5 5 2 2 2 29 2" xfId="43707"/>
    <cellStyle name="40% - Accent5 5 2 2 2 3" xfId="2236"/>
    <cellStyle name="40% - Accent5 5 2 2 2 3 2" xfId="4532"/>
    <cellStyle name="40% - Accent5 5 2 2 2 3 2 2" xfId="27307"/>
    <cellStyle name="40% - Accent5 5 2 2 2 3 3" xfId="25011"/>
    <cellStyle name="40% - Accent5 5 2 2 2 30" xfId="21588"/>
    <cellStyle name="40% - Accent5 5 2 2 2 30 2" xfId="44363"/>
    <cellStyle name="40% - Accent5 5 2 2 2 31" xfId="22244"/>
    <cellStyle name="40% - Accent5 5 2 2 2 31 2" xfId="45019"/>
    <cellStyle name="40% - Accent5 5 2 2 2 32" xfId="22900"/>
    <cellStyle name="40% - Accent5 5 2 2 2 32 2" xfId="45675"/>
    <cellStyle name="40% - Accent5 5 2 2 2 33" xfId="23699"/>
    <cellStyle name="40% - Accent5 5 2 2 2 4" xfId="5188"/>
    <cellStyle name="40% - Accent5 5 2 2 2 4 2" xfId="27963"/>
    <cellStyle name="40% - Accent5 5 2 2 2 5" xfId="5844"/>
    <cellStyle name="40% - Accent5 5 2 2 2 5 2" xfId="28619"/>
    <cellStyle name="40% - Accent5 5 2 2 2 6" xfId="6500"/>
    <cellStyle name="40% - Accent5 5 2 2 2 6 2" xfId="29275"/>
    <cellStyle name="40% - Accent5 5 2 2 2 7" xfId="3220"/>
    <cellStyle name="40% - Accent5 5 2 2 2 7 2" xfId="25995"/>
    <cellStyle name="40% - Accent5 5 2 2 2 8" xfId="7156"/>
    <cellStyle name="40% - Accent5 5 2 2 2 8 2" xfId="29931"/>
    <cellStyle name="40% - Accent5 5 2 2 2 9" xfId="7812"/>
    <cellStyle name="40% - Accent5 5 2 2 2 9 2" xfId="30587"/>
    <cellStyle name="40% - Accent5 5 2 2 20" xfId="13388"/>
    <cellStyle name="40% - Accent5 5 2 2 20 2" xfId="36163"/>
    <cellStyle name="40% - Accent5 5 2 2 21" xfId="14044"/>
    <cellStyle name="40% - Accent5 5 2 2 21 2" xfId="36819"/>
    <cellStyle name="40% - Accent5 5 2 2 22" xfId="14700"/>
    <cellStyle name="40% - Accent5 5 2 2 22 2" xfId="37475"/>
    <cellStyle name="40% - Accent5 5 2 2 23" xfId="15356"/>
    <cellStyle name="40% - Accent5 5 2 2 23 2" xfId="38131"/>
    <cellStyle name="40% - Accent5 5 2 2 24" xfId="16012"/>
    <cellStyle name="40% - Accent5 5 2 2 24 2" xfId="38787"/>
    <cellStyle name="40% - Accent5 5 2 2 25" xfId="16668"/>
    <cellStyle name="40% - Accent5 5 2 2 25 2" xfId="39443"/>
    <cellStyle name="40% - Accent5 5 2 2 26" xfId="17324"/>
    <cellStyle name="40% - Accent5 5 2 2 26 2" xfId="40099"/>
    <cellStyle name="40% - Accent5 5 2 2 27" xfId="17980"/>
    <cellStyle name="40% - Accent5 5 2 2 27 2" xfId="40755"/>
    <cellStyle name="40% - Accent5 5 2 2 28" xfId="18636"/>
    <cellStyle name="40% - Accent5 5 2 2 28 2" xfId="41411"/>
    <cellStyle name="40% - Accent5 5 2 2 29" xfId="19292"/>
    <cellStyle name="40% - Accent5 5 2 2 29 2" xfId="42067"/>
    <cellStyle name="40% - Accent5 5 2 2 3" xfId="1252"/>
    <cellStyle name="40% - Accent5 5 2 2 3 2" xfId="2892"/>
    <cellStyle name="40% - Accent5 5 2 2 3 2 2" xfId="25667"/>
    <cellStyle name="40% - Accent5 5 2 2 3 3" xfId="24027"/>
    <cellStyle name="40% - Accent5 5 2 2 30" xfId="19948"/>
    <cellStyle name="40% - Accent5 5 2 2 30 2" xfId="42723"/>
    <cellStyle name="40% - Accent5 5 2 2 31" xfId="20604"/>
    <cellStyle name="40% - Accent5 5 2 2 31 2" xfId="43379"/>
    <cellStyle name="40% - Accent5 5 2 2 32" xfId="21260"/>
    <cellStyle name="40% - Accent5 5 2 2 32 2" xfId="44035"/>
    <cellStyle name="40% - Accent5 5 2 2 33" xfId="21916"/>
    <cellStyle name="40% - Accent5 5 2 2 33 2" xfId="44691"/>
    <cellStyle name="40% - Accent5 5 2 2 34" xfId="22572"/>
    <cellStyle name="40% - Accent5 5 2 2 34 2" xfId="45347"/>
    <cellStyle name="40% - Accent5 5 2 2 35" xfId="23371"/>
    <cellStyle name="40% - Accent5 5 2 2 4" xfId="1908"/>
    <cellStyle name="40% - Accent5 5 2 2 4 2" xfId="3548"/>
    <cellStyle name="40% - Accent5 5 2 2 4 2 2" xfId="26323"/>
    <cellStyle name="40% - Accent5 5 2 2 4 3" xfId="24683"/>
    <cellStyle name="40% - Accent5 5 2 2 5" xfId="4204"/>
    <cellStyle name="40% - Accent5 5 2 2 5 2" xfId="26979"/>
    <cellStyle name="40% - Accent5 5 2 2 6" xfId="4860"/>
    <cellStyle name="40% - Accent5 5 2 2 6 2" xfId="27635"/>
    <cellStyle name="40% - Accent5 5 2 2 7" xfId="5516"/>
    <cellStyle name="40% - Accent5 5 2 2 7 2" xfId="28291"/>
    <cellStyle name="40% - Accent5 5 2 2 8" xfId="6172"/>
    <cellStyle name="40% - Accent5 5 2 2 8 2" xfId="28947"/>
    <cellStyle name="40% - Accent5 5 2 2 9" xfId="2564"/>
    <cellStyle name="40% - Accent5 5 2 2 9 2" xfId="25339"/>
    <cellStyle name="40% - Accent5 5 2 20" xfId="12547"/>
    <cellStyle name="40% - Accent5 5 2 20 2" xfId="35322"/>
    <cellStyle name="40% - Accent5 5 2 21" xfId="13203"/>
    <cellStyle name="40% - Accent5 5 2 21 2" xfId="35978"/>
    <cellStyle name="40% - Accent5 5 2 22" xfId="13859"/>
    <cellStyle name="40% - Accent5 5 2 22 2" xfId="36634"/>
    <cellStyle name="40% - Accent5 5 2 23" xfId="14515"/>
    <cellStyle name="40% - Accent5 5 2 23 2" xfId="37290"/>
    <cellStyle name="40% - Accent5 5 2 24" xfId="15171"/>
    <cellStyle name="40% - Accent5 5 2 24 2" xfId="37946"/>
    <cellStyle name="40% - Accent5 5 2 25" xfId="15827"/>
    <cellStyle name="40% - Accent5 5 2 25 2" xfId="38602"/>
    <cellStyle name="40% - Accent5 5 2 26" xfId="16483"/>
    <cellStyle name="40% - Accent5 5 2 26 2" xfId="39258"/>
    <cellStyle name="40% - Accent5 5 2 27" xfId="17139"/>
    <cellStyle name="40% - Accent5 5 2 27 2" xfId="39914"/>
    <cellStyle name="40% - Accent5 5 2 28" xfId="17795"/>
    <cellStyle name="40% - Accent5 5 2 28 2" xfId="40570"/>
    <cellStyle name="40% - Accent5 5 2 29" xfId="18451"/>
    <cellStyle name="40% - Accent5 5 2 29 2" xfId="41226"/>
    <cellStyle name="40% - Accent5 5 2 3" xfId="739"/>
    <cellStyle name="40% - Accent5 5 2 3 10" xfId="8283"/>
    <cellStyle name="40% - Accent5 5 2 3 10 2" xfId="31058"/>
    <cellStyle name="40% - Accent5 5 2 3 11" xfId="8939"/>
    <cellStyle name="40% - Accent5 5 2 3 11 2" xfId="31714"/>
    <cellStyle name="40% - Accent5 5 2 3 12" xfId="9595"/>
    <cellStyle name="40% - Accent5 5 2 3 12 2" xfId="32370"/>
    <cellStyle name="40% - Accent5 5 2 3 13" xfId="10251"/>
    <cellStyle name="40% - Accent5 5 2 3 13 2" xfId="33026"/>
    <cellStyle name="40% - Accent5 5 2 3 14" xfId="10907"/>
    <cellStyle name="40% - Accent5 5 2 3 14 2" xfId="33682"/>
    <cellStyle name="40% - Accent5 5 2 3 15" xfId="11563"/>
    <cellStyle name="40% - Accent5 5 2 3 15 2" xfId="34338"/>
    <cellStyle name="40% - Accent5 5 2 3 16" xfId="12219"/>
    <cellStyle name="40% - Accent5 5 2 3 16 2" xfId="34994"/>
    <cellStyle name="40% - Accent5 5 2 3 17" xfId="12875"/>
    <cellStyle name="40% - Accent5 5 2 3 17 2" xfId="35650"/>
    <cellStyle name="40% - Accent5 5 2 3 18" xfId="13531"/>
    <cellStyle name="40% - Accent5 5 2 3 18 2" xfId="36306"/>
    <cellStyle name="40% - Accent5 5 2 3 19" xfId="14187"/>
    <cellStyle name="40% - Accent5 5 2 3 19 2" xfId="36962"/>
    <cellStyle name="40% - Accent5 5 2 3 2" xfId="1395"/>
    <cellStyle name="40% - Accent5 5 2 3 2 2" xfId="3691"/>
    <cellStyle name="40% - Accent5 5 2 3 2 2 2" xfId="26466"/>
    <cellStyle name="40% - Accent5 5 2 3 2 3" xfId="24170"/>
    <cellStyle name="40% - Accent5 5 2 3 20" xfId="14843"/>
    <cellStyle name="40% - Accent5 5 2 3 20 2" xfId="37618"/>
    <cellStyle name="40% - Accent5 5 2 3 21" xfId="15499"/>
    <cellStyle name="40% - Accent5 5 2 3 21 2" xfId="38274"/>
    <cellStyle name="40% - Accent5 5 2 3 22" xfId="16155"/>
    <cellStyle name="40% - Accent5 5 2 3 22 2" xfId="38930"/>
    <cellStyle name="40% - Accent5 5 2 3 23" xfId="16811"/>
    <cellStyle name="40% - Accent5 5 2 3 23 2" xfId="39586"/>
    <cellStyle name="40% - Accent5 5 2 3 24" xfId="17467"/>
    <cellStyle name="40% - Accent5 5 2 3 24 2" xfId="40242"/>
    <cellStyle name="40% - Accent5 5 2 3 25" xfId="18123"/>
    <cellStyle name="40% - Accent5 5 2 3 25 2" xfId="40898"/>
    <cellStyle name="40% - Accent5 5 2 3 26" xfId="18779"/>
    <cellStyle name="40% - Accent5 5 2 3 26 2" xfId="41554"/>
    <cellStyle name="40% - Accent5 5 2 3 27" xfId="19435"/>
    <cellStyle name="40% - Accent5 5 2 3 27 2" xfId="42210"/>
    <cellStyle name="40% - Accent5 5 2 3 28" xfId="20091"/>
    <cellStyle name="40% - Accent5 5 2 3 28 2" xfId="42866"/>
    <cellStyle name="40% - Accent5 5 2 3 29" xfId="20747"/>
    <cellStyle name="40% - Accent5 5 2 3 29 2" xfId="43522"/>
    <cellStyle name="40% - Accent5 5 2 3 3" xfId="2051"/>
    <cellStyle name="40% - Accent5 5 2 3 3 2" xfId="4347"/>
    <cellStyle name="40% - Accent5 5 2 3 3 2 2" xfId="27122"/>
    <cellStyle name="40% - Accent5 5 2 3 3 3" xfId="24826"/>
    <cellStyle name="40% - Accent5 5 2 3 30" xfId="21403"/>
    <cellStyle name="40% - Accent5 5 2 3 30 2" xfId="44178"/>
    <cellStyle name="40% - Accent5 5 2 3 31" xfId="22059"/>
    <cellStyle name="40% - Accent5 5 2 3 31 2" xfId="44834"/>
    <cellStyle name="40% - Accent5 5 2 3 32" xfId="22715"/>
    <cellStyle name="40% - Accent5 5 2 3 32 2" xfId="45490"/>
    <cellStyle name="40% - Accent5 5 2 3 33" xfId="23514"/>
    <cellStyle name="40% - Accent5 5 2 3 4" xfId="5003"/>
    <cellStyle name="40% - Accent5 5 2 3 4 2" xfId="27778"/>
    <cellStyle name="40% - Accent5 5 2 3 5" xfId="5659"/>
    <cellStyle name="40% - Accent5 5 2 3 5 2" xfId="28434"/>
    <cellStyle name="40% - Accent5 5 2 3 6" xfId="6315"/>
    <cellStyle name="40% - Accent5 5 2 3 6 2" xfId="29090"/>
    <cellStyle name="40% - Accent5 5 2 3 7" xfId="3035"/>
    <cellStyle name="40% - Accent5 5 2 3 7 2" xfId="25810"/>
    <cellStyle name="40% - Accent5 5 2 3 8" xfId="6971"/>
    <cellStyle name="40% - Accent5 5 2 3 8 2" xfId="29746"/>
    <cellStyle name="40% - Accent5 5 2 3 9" xfId="7627"/>
    <cellStyle name="40% - Accent5 5 2 3 9 2" xfId="30402"/>
    <cellStyle name="40% - Accent5 5 2 30" xfId="19107"/>
    <cellStyle name="40% - Accent5 5 2 30 2" xfId="41882"/>
    <cellStyle name="40% - Accent5 5 2 31" xfId="19763"/>
    <cellStyle name="40% - Accent5 5 2 31 2" xfId="42538"/>
    <cellStyle name="40% - Accent5 5 2 32" xfId="20419"/>
    <cellStyle name="40% - Accent5 5 2 32 2" xfId="43194"/>
    <cellStyle name="40% - Accent5 5 2 33" xfId="21075"/>
    <cellStyle name="40% - Accent5 5 2 33 2" xfId="43850"/>
    <cellStyle name="40% - Accent5 5 2 34" xfId="21731"/>
    <cellStyle name="40% - Accent5 5 2 34 2" xfId="44506"/>
    <cellStyle name="40% - Accent5 5 2 35" xfId="22387"/>
    <cellStyle name="40% - Accent5 5 2 35 2" xfId="45162"/>
    <cellStyle name="40% - Accent5 5 2 36" xfId="23043"/>
    <cellStyle name="40% - Accent5 5 2 4" xfId="412"/>
    <cellStyle name="40% - Accent5 5 2 4 2" xfId="2707"/>
    <cellStyle name="40% - Accent5 5 2 4 2 2" xfId="25482"/>
    <cellStyle name="40% - Accent5 5 2 4 3" xfId="23186"/>
    <cellStyle name="40% - Accent5 5 2 5" xfId="1067"/>
    <cellStyle name="40% - Accent5 5 2 5 2" xfId="3363"/>
    <cellStyle name="40% - Accent5 5 2 5 2 2" xfId="26138"/>
    <cellStyle name="40% - Accent5 5 2 5 3" xfId="23842"/>
    <cellStyle name="40% - Accent5 5 2 6" xfId="1723"/>
    <cellStyle name="40% - Accent5 5 2 6 2" xfId="4019"/>
    <cellStyle name="40% - Accent5 5 2 6 2 2" xfId="26794"/>
    <cellStyle name="40% - Accent5 5 2 6 3" xfId="24498"/>
    <cellStyle name="40% - Accent5 5 2 7" xfId="4675"/>
    <cellStyle name="40% - Accent5 5 2 7 2" xfId="27450"/>
    <cellStyle name="40% - Accent5 5 2 8" xfId="5331"/>
    <cellStyle name="40% - Accent5 5 2 8 2" xfId="28106"/>
    <cellStyle name="40% - Accent5 5 2 9" xfId="5987"/>
    <cellStyle name="40% - Accent5 5 2 9 2" xfId="28762"/>
    <cellStyle name="40% - Accent5 5 20" xfId="11820"/>
    <cellStyle name="40% - Accent5 5 20 2" xfId="34595"/>
    <cellStyle name="40% - Accent5 5 21" xfId="12476"/>
    <cellStyle name="40% - Accent5 5 21 2" xfId="35251"/>
    <cellStyle name="40% - Accent5 5 22" xfId="13132"/>
    <cellStyle name="40% - Accent5 5 22 2" xfId="35907"/>
    <cellStyle name="40% - Accent5 5 23" xfId="13788"/>
    <cellStyle name="40% - Accent5 5 23 2" xfId="36563"/>
    <cellStyle name="40% - Accent5 5 24" xfId="14444"/>
    <cellStyle name="40% - Accent5 5 24 2" xfId="37219"/>
    <cellStyle name="40% - Accent5 5 25" xfId="15100"/>
    <cellStyle name="40% - Accent5 5 25 2" xfId="37875"/>
    <cellStyle name="40% - Accent5 5 26" xfId="15756"/>
    <cellStyle name="40% - Accent5 5 26 2" xfId="38531"/>
    <cellStyle name="40% - Accent5 5 27" xfId="16412"/>
    <cellStyle name="40% - Accent5 5 27 2" xfId="39187"/>
    <cellStyle name="40% - Accent5 5 28" xfId="17068"/>
    <cellStyle name="40% - Accent5 5 28 2" xfId="39843"/>
    <cellStyle name="40% - Accent5 5 29" xfId="17724"/>
    <cellStyle name="40% - Accent5 5 29 2" xfId="40499"/>
    <cellStyle name="40% - Accent5 5 3" xfId="525"/>
    <cellStyle name="40% - Accent5 5 3 10" xfId="6757"/>
    <cellStyle name="40% - Accent5 5 3 10 2" xfId="29532"/>
    <cellStyle name="40% - Accent5 5 3 11" xfId="7413"/>
    <cellStyle name="40% - Accent5 5 3 11 2" xfId="30188"/>
    <cellStyle name="40% - Accent5 5 3 12" xfId="8069"/>
    <cellStyle name="40% - Accent5 5 3 12 2" xfId="30844"/>
    <cellStyle name="40% - Accent5 5 3 13" xfId="8725"/>
    <cellStyle name="40% - Accent5 5 3 13 2" xfId="31500"/>
    <cellStyle name="40% - Accent5 5 3 14" xfId="9381"/>
    <cellStyle name="40% - Accent5 5 3 14 2" xfId="32156"/>
    <cellStyle name="40% - Accent5 5 3 15" xfId="10037"/>
    <cellStyle name="40% - Accent5 5 3 15 2" xfId="32812"/>
    <cellStyle name="40% - Accent5 5 3 16" xfId="10693"/>
    <cellStyle name="40% - Accent5 5 3 16 2" xfId="33468"/>
    <cellStyle name="40% - Accent5 5 3 17" xfId="11349"/>
    <cellStyle name="40% - Accent5 5 3 17 2" xfId="34124"/>
    <cellStyle name="40% - Accent5 5 3 18" xfId="12005"/>
    <cellStyle name="40% - Accent5 5 3 18 2" xfId="34780"/>
    <cellStyle name="40% - Accent5 5 3 19" xfId="12661"/>
    <cellStyle name="40% - Accent5 5 3 19 2" xfId="35436"/>
    <cellStyle name="40% - Accent5 5 3 2" xfId="853"/>
    <cellStyle name="40% - Accent5 5 3 2 10" xfId="8397"/>
    <cellStyle name="40% - Accent5 5 3 2 10 2" xfId="31172"/>
    <cellStyle name="40% - Accent5 5 3 2 11" xfId="9053"/>
    <cellStyle name="40% - Accent5 5 3 2 11 2" xfId="31828"/>
    <cellStyle name="40% - Accent5 5 3 2 12" xfId="9709"/>
    <cellStyle name="40% - Accent5 5 3 2 12 2" xfId="32484"/>
    <cellStyle name="40% - Accent5 5 3 2 13" xfId="10365"/>
    <cellStyle name="40% - Accent5 5 3 2 13 2" xfId="33140"/>
    <cellStyle name="40% - Accent5 5 3 2 14" xfId="11021"/>
    <cellStyle name="40% - Accent5 5 3 2 14 2" xfId="33796"/>
    <cellStyle name="40% - Accent5 5 3 2 15" xfId="11677"/>
    <cellStyle name="40% - Accent5 5 3 2 15 2" xfId="34452"/>
    <cellStyle name="40% - Accent5 5 3 2 16" xfId="12333"/>
    <cellStyle name="40% - Accent5 5 3 2 16 2" xfId="35108"/>
    <cellStyle name="40% - Accent5 5 3 2 17" xfId="12989"/>
    <cellStyle name="40% - Accent5 5 3 2 17 2" xfId="35764"/>
    <cellStyle name="40% - Accent5 5 3 2 18" xfId="13645"/>
    <cellStyle name="40% - Accent5 5 3 2 18 2" xfId="36420"/>
    <cellStyle name="40% - Accent5 5 3 2 19" xfId="14301"/>
    <cellStyle name="40% - Accent5 5 3 2 19 2" xfId="37076"/>
    <cellStyle name="40% - Accent5 5 3 2 2" xfId="1509"/>
    <cellStyle name="40% - Accent5 5 3 2 2 2" xfId="3805"/>
    <cellStyle name="40% - Accent5 5 3 2 2 2 2" xfId="26580"/>
    <cellStyle name="40% - Accent5 5 3 2 2 3" xfId="24284"/>
    <cellStyle name="40% - Accent5 5 3 2 20" xfId="14957"/>
    <cellStyle name="40% - Accent5 5 3 2 20 2" xfId="37732"/>
    <cellStyle name="40% - Accent5 5 3 2 21" xfId="15613"/>
    <cellStyle name="40% - Accent5 5 3 2 21 2" xfId="38388"/>
    <cellStyle name="40% - Accent5 5 3 2 22" xfId="16269"/>
    <cellStyle name="40% - Accent5 5 3 2 22 2" xfId="39044"/>
    <cellStyle name="40% - Accent5 5 3 2 23" xfId="16925"/>
    <cellStyle name="40% - Accent5 5 3 2 23 2" xfId="39700"/>
    <cellStyle name="40% - Accent5 5 3 2 24" xfId="17581"/>
    <cellStyle name="40% - Accent5 5 3 2 24 2" xfId="40356"/>
    <cellStyle name="40% - Accent5 5 3 2 25" xfId="18237"/>
    <cellStyle name="40% - Accent5 5 3 2 25 2" xfId="41012"/>
    <cellStyle name="40% - Accent5 5 3 2 26" xfId="18893"/>
    <cellStyle name="40% - Accent5 5 3 2 26 2" xfId="41668"/>
    <cellStyle name="40% - Accent5 5 3 2 27" xfId="19549"/>
    <cellStyle name="40% - Accent5 5 3 2 27 2" xfId="42324"/>
    <cellStyle name="40% - Accent5 5 3 2 28" xfId="20205"/>
    <cellStyle name="40% - Accent5 5 3 2 28 2" xfId="42980"/>
    <cellStyle name="40% - Accent5 5 3 2 29" xfId="20861"/>
    <cellStyle name="40% - Accent5 5 3 2 29 2" xfId="43636"/>
    <cellStyle name="40% - Accent5 5 3 2 3" xfId="2165"/>
    <cellStyle name="40% - Accent5 5 3 2 3 2" xfId="4461"/>
    <cellStyle name="40% - Accent5 5 3 2 3 2 2" xfId="27236"/>
    <cellStyle name="40% - Accent5 5 3 2 3 3" xfId="24940"/>
    <cellStyle name="40% - Accent5 5 3 2 30" xfId="21517"/>
    <cellStyle name="40% - Accent5 5 3 2 30 2" xfId="44292"/>
    <cellStyle name="40% - Accent5 5 3 2 31" xfId="22173"/>
    <cellStyle name="40% - Accent5 5 3 2 31 2" xfId="44948"/>
    <cellStyle name="40% - Accent5 5 3 2 32" xfId="22829"/>
    <cellStyle name="40% - Accent5 5 3 2 32 2" xfId="45604"/>
    <cellStyle name="40% - Accent5 5 3 2 33" xfId="23628"/>
    <cellStyle name="40% - Accent5 5 3 2 4" xfId="5117"/>
    <cellStyle name="40% - Accent5 5 3 2 4 2" xfId="27892"/>
    <cellStyle name="40% - Accent5 5 3 2 5" xfId="5773"/>
    <cellStyle name="40% - Accent5 5 3 2 5 2" xfId="28548"/>
    <cellStyle name="40% - Accent5 5 3 2 6" xfId="6429"/>
    <cellStyle name="40% - Accent5 5 3 2 6 2" xfId="29204"/>
    <cellStyle name="40% - Accent5 5 3 2 7" xfId="3149"/>
    <cellStyle name="40% - Accent5 5 3 2 7 2" xfId="25924"/>
    <cellStyle name="40% - Accent5 5 3 2 8" xfId="7085"/>
    <cellStyle name="40% - Accent5 5 3 2 8 2" xfId="29860"/>
    <cellStyle name="40% - Accent5 5 3 2 9" xfId="7741"/>
    <cellStyle name="40% - Accent5 5 3 2 9 2" xfId="30516"/>
    <cellStyle name="40% - Accent5 5 3 20" xfId="13317"/>
    <cellStyle name="40% - Accent5 5 3 20 2" xfId="36092"/>
    <cellStyle name="40% - Accent5 5 3 21" xfId="13973"/>
    <cellStyle name="40% - Accent5 5 3 21 2" xfId="36748"/>
    <cellStyle name="40% - Accent5 5 3 22" xfId="14629"/>
    <cellStyle name="40% - Accent5 5 3 22 2" xfId="37404"/>
    <cellStyle name="40% - Accent5 5 3 23" xfId="15285"/>
    <cellStyle name="40% - Accent5 5 3 23 2" xfId="38060"/>
    <cellStyle name="40% - Accent5 5 3 24" xfId="15941"/>
    <cellStyle name="40% - Accent5 5 3 24 2" xfId="38716"/>
    <cellStyle name="40% - Accent5 5 3 25" xfId="16597"/>
    <cellStyle name="40% - Accent5 5 3 25 2" xfId="39372"/>
    <cellStyle name="40% - Accent5 5 3 26" xfId="17253"/>
    <cellStyle name="40% - Accent5 5 3 26 2" xfId="40028"/>
    <cellStyle name="40% - Accent5 5 3 27" xfId="17909"/>
    <cellStyle name="40% - Accent5 5 3 27 2" xfId="40684"/>
    <cellStyle name="40% - Accent5 5 3 28" xfId="18565"/>
    <cellStyle name="40% - Accent5 5 3 28 2" xfId="41340"/>
    <cellStyle name="40% - Accent5 5 3 29" xfId="19221"/>
    <cellStyle name="40% - Accent5 5 3 29 2" xfId="41996"/>
    <cellStyle name="40% - Accent5 5 3 3" xfId="1181"/>
    <cellStyle name="40% - Accent5 5 3 3 2" xfId="2821"/>
    <cellStyle name="40% - Accent5 5 3 3 2 2" xfId="25596"/>
    <cellStyle name="40% - Accent5 5 3 3 3" xfId="23956"/>
    <cellStyle name="40% - Accent5 5 3 30" xfId="19877"/>
    <cellStyle name="40% - Accent5 5 3 30 2" xfId="42652"/>
    <cellStyle name="40% - Accent5 5 3 31" xfId="20533"/>
    <cellStyle name="40% - Accent5 5 3 31 2" xfId="43308"/>
    <cellStyle name="40% - Accent5 5 3 32" xfId="21189"/>
    <cellStyle name="40% - Accent5 5 3 32 2" xfId="43964"/>
    <cellStyle name="40% - Accent5 5 3 33" xfId="21845"/>
    <cellStyle name="40% - Accent5 5 3 33 2" xfId="44620"/>
    <cellStyle name="40% - Accent5 5 3 34" xfId="22501"/>
    <cellStyle name="40% - Accent5 5 3 34 2" xfId="45276"/>
    <cellStyle name="40% - Accent5 5 3 35" xfId="23300"/>
    <cellStyle name="40% - Accent5 5 3 4" xfId="1837"/>
    <cellStyle name="40% - Accent5 5 3 4 2" xfId="3477"/>
    <cellStyle name="40% - Accent5 5 3 4 2 2" xfId="26252"/>
    <cellStyle name="40% - Accent5 5 3 4 3" xfId="24612"/>
    <cellStyle name="40% - Accent5 5 3 5" xfId="4133"/>
    <cellStyle name="40% - Accent5 5 3 5 2" xfId="26908"/>
    <cellStyle name="40% - Accent5 5 3 6" xfId="4789"/>
    <cellStyle name="40% - Accent5 5 3 6 2" xfId="27564"/>
    <cellStyle name="40% - Accent5 5 3 7" xfId="5445"/>
    <cellStyle name="40% - Accent5 5 3 7 2" xfId="28220"/>
    <cellStyle name="40% - Accent5 5 3 8" xfId="6101"/>
    <cellStyle name="40% - Accent5 5 3 8 2" xfId="28876"/>
    <cellStyle name="40% - Accent5 5 3 9" xfId="2493"/>
    <cellStyle name="40% - Accent5 5 3 9 2" xfId="25268"/>
    <cellStyle name="40% - Accent5 5 30" xfId="18380"/>
    <cellStyle name="40% - Accent5 5 30 2" xfId="41155"/>
    <cellStyle name="40% - Accent5 5 31" xfId="19036"/>
    <cellStyle name="40% - Accent5 5 31 2" xfId="41811"/>
    <cellStyle name="40% - Accent5 5 32" xfId="19692"/>
    <cellStyle name="40% - Accent5 5 32 2" xfId="42467"/>
    <cellStyle name="40% - Accent5 5 33" xfId="20348"/>
    <cellStyle name="40% - Accent5 5 33 2" xfId="43123"/>
    <cellStyle name="40% - Accent5 5 34" xfId="21004"/>
    <cellStyle name="40% - Accent5 5 34 2" xfId="43779"/>
    <cellStyle name="40% - Accent5 5 35" xfId="21660"/>
    <cellStyle name="40% - Accent5 5 35 2" xfId="44435"/>
    <cellStyle name="40% - Accent5 5 36" xfId="22316"/>
    <cellStyle name="40% - Accent5 5 36 2" xfId="45091"/>
    <cellStyle name="40% - Accent5 5 37" xfId="255"/>
    <cellStyle name="40% - Accent5 5 38" xfId="22972"/>
    <cellStyle name="40% - Accent5 5 4" xfId="668"/>
    <cellStyle name="40% - Accent5 5 4 10" xfId="8212"/>
    <cellStyle name="40% - Accent5 5 4 10 2" xfId="30987"/>
    <cellStyle name="40% - Accent5 5 4 11" xfId="8868"/>
    <cellStyle name="40% - Accent5 5 4 11 2" xfId="31643"/>
    <cellStyle name="40% - Accent5 5 4 12" xfId="9524"/>
    <cellStyle name="40% - Accent5 5 4 12 2" xfId="32299"/>
    <cellStyle name="40% - Accent5 5 4 13" xfId="10180"/>
    <cellStyle name="40% - Accent5 5 4 13 2" xfId="32955"/>
    <cellStyle name="40% - Accent5 5 4 14" xfId="10836"/>
    <cellStyle name="40% - Accent5 5 4 14 2" xfId="33611"/>
    <cellStyle name="40% - Accent5 5 4 15" xfId="11492"/>
    <cellStyle name="40% - Accent5 5 4 15 2" xfId="34267"/>
    <cellStyle name="40% - Accent5 5 4 16" xfId="12148"/>
    <cellStyle name="40% - Accent5 5 4 16 2" xfId="34923"/>
    <cellStyle name="40% - Accent5 5 4 17" xfId="12804"/>
    <cellStyle name="40% - Accent5 5 4 17 2" xfId="35579"/>
    <cellStyle name="40% - Accent5 5 4 18" xfId="13460"/>
    <cellStyle name="40% - Accent5 5 4 18 2" xfId="36235"/>
    <cellStyle name="40% - Accent5 5 4 19" xfId="14116"/>
    <cellStyle name="40% - Accent5 5 4 19 2" xfId="36891"/>
    <cellStyle name="40% - Accent5 5 4 2" xfId="1324"/>
    <cellStyle name="40% - Accent5 5 4 2 2" xfId="3620"/>
    <cellStyle name="40% - Accent5 5 4 2 2 2" xfId="26395"/>
    <cellStyle name="40% - Accent5 5 4 2 3" xfId="24099"/>
    <cellStyle name="40% - Accent5 5 4 20" xfId="14772"/>
    <cellStyle name="40% - Accent5 5 4 20 2" xfId="37547"/>
    <cellStyle name="40% - Accent5 5 4 21" xfId="15428"/>
    <cellStyle name="40% - Accent5 5 4 21 2" xfId="38203"/>
    <cellStyle name="40% - Accent5 5 4 22" xfId="16084"/>
    <cellStyle name="40% - Accent5 5 4 22 2" xfId="38859"/>
    <cellStyle name="40% - Accent5 5 4 23" xfId="16740"/>
    <cellStyle name="40% - Accent5 5 4 23 2" xfId="39515"/>
    <cellStyle name="40% - Accent5 5 4 24" xfId="17396"/>
    <cellStyle name="40% - Accent5 5 4 24 2" xfId="40171"/>
    <cellStyle name="40% - Accent5 5 4 25" xfId="18052"/>
    <cellStyle name="40% - Accent5 5 4 25 2" xfId="40827"/>
    <cellStyle name="40% - Accent5 5 4 26" xfId="18708"/>
    <cellStyle name="40% - Accent5 5 4 26 2" xfId="41483"/>
    <cellStyle name="40% - Accent5 5 4 27" xfId="19364"/>
    <cellStyle name="40% - Accent5 5 4 27 2" xfId="42139"/>
    <cellStyle name="40% - Accent5 5 4 28" xfId="20020"/>
    <cellStyle name="40% - Accent5 5 4 28 2" xfId="42795"/>
    <cellStyle name="40% - Accent5 5 4 29" xfId="20676"/>
    <cellStyle name="40% - Accent5 5 4 29 2" xfId="43451"/>
    <cellStyle name="40% - Accent5 5 4 3" xfId="1980"/>
    <cellStyle name="40% - Accent5 5 4 3 2" xfId="4276"/>
    <cellStyle name="40% - Accent5 5 4 3 2 2" xfId="27051"/>
    <cellStyle name="40% - Accent5 5 4 3 3" xfId="24755"/>
    <cellStyle name="40% - Accent5 5 4 30" xfId="21332"/>
    <cellStyle name="40% - Accent5 5 4 30 2" xfId="44107"/>
    <cellStyle name="40% - Accent5 5 4 31" xfId="21988"/>
    <cellStyle name="40% - Accent5 5 4 31 2" xfId="44763"/>
    <cellStyle name="40% - Accent5 5 4 32" xfId="22644"/>
    <cellStyle name="40% - Accent5 5 4 32 2" xfId="45419"/>
    <cellStyle name="40% - Accent5 5 4 33" xfId="23443"/>
    <cellStyle name="40% - Accent5 5 4 4" xfId="4932"/>
    <cellStyle name="40% - Accent5 5 4 4 2" xfId="27707"/>
    <cellStyle name="40% - Accent5 5 4 5" xfId="5588"/>
    <cellStyle name="40% - Accent5 5 4 5 2" xfId="28363"/>
    <cellStyle name="40% - Accent5 5 4 6" xfId="6244"/>
    <cellStyle name="40% - Accent5 5 4 6 2" xfId="29019"/>
    <cellStyle name="40% - Accent5 5 4 7" xfId="2964"/>
    <cellStyle name="40% - Accent5 5 4 7 2" xfId="25739"/>
    <cellStyle name="40% - Accent5 5 4 8" xfId="6900"/>
    <cellStyle name="40% - Accent5 5 4 8 2" xfId="29675"/>
    <cellStyle name="40% - Accent5 5 4 9" xfId="7556"/>
    <cellStyle name="40% - Accent5 5 4 9 2" xfId="30331"/>
    <cellStyle name="40% - Accent5 5 5" xfId="341"/>
    <cellStyle name="40% - Accent5 5 5 2" xfId="2636"/>
    <cellStyle name="40% - Accent5 5 5 2 2" xfId="25411"/>
    <cellStyle name="40% - Accent5 5 5 3" xfId="23115"/>
    <cellStyle name="40% - Accent5 5 6" xfId="996"/>
    <cellStyle name="40% - Accent5 5 6 2" xfId="3292"/>
    <cellStyle name="40% - Accent5 5 6 2 2" xfId="26067"/>
    <cellStyle name="40% - Accent5 5 6 3" xfId="23771"/>
    <cellStyle name="40% - Accent5 5 7" xfId="1652"/>
    <cellStyle name="40% - Accent5 5 7 2" xfId="3948"/>
    <cellStyle name="40% - Accent5 5 7 2 2" xfId="26723"/>
    <cellStyle name="40% - Accent5 5 7 3" xfId="24427"/>
    <cellStyle name="40% - Accent5 5 8" xfId="4604"/>
    <cellStyle name="40% - Accent5 5 8 2" xfId="27379"/>
    <cellStyle name="40% - Accent5 5 9" xfId="5260"/>
    <cellStyle name="40% - Accent5 5 9 2" xfId="28035"/>
    <cellStyle name="40% - Accent5 6" xfId="123"/>
    <cellStyle name="40% - Accent5 6 10" xfId="2321"/>
    <cellStyle name="40% - Accent5 6 10 2" xfId="25096"/>
    <cellStyle name="40% - Accent5 6 11" xfId="6585"/>
    <cellStyle name="40% - Accent5 6 11 2" xfId="29360"/>
    <cellStyle name="40% - Accent5 6 12" xfId="7241"/>
    <cellStyle name="40% - Accent5 6 12 2" xfId="30016"/>
    <cellStyle name="40% - Accent5 6 13" xfId="7897"/>
    <cellStyle name="40% - Accent5 6 13 2" xfId="30672"/>
    <cellStyle name="40% - Accent5 6 14" xfId="8553"/>
    <cellStyle name="40% - Accent5 6 14 2" xfId="31328"/>
    <cellStyle name="40% - Accent5 6 15" xfId="9209"/>
    <cellStyle name="40% - Accent5 6 15 2" xfId="31984"/>
    <cellStyle name="40% - Accent5 6 16" xfId="9865"/>
    <cellStyle name="40% - Accent5 6 16 2" xfId="32640"/>
    <cellStyle name="40% - Accent5 6 17" xfId="10521"/>
    <cellStyle name="40% - Accent5 6 17 2" xfId="33296"/>
    <cellStyle name="40% - Accent5 6 18" xfId="11177"/>
    <cellStyle name="40% - Accent5 6 18 2" xfId="33952"/>
    <cellStyle name="40% - Accent5 6 19" xfId="11833"/>
    <cellStyle name="40% - Accent5 6 19 2" xfId="34608"/>
    <cellStyle name="40% - Accent5 6 2" xfId="537"/>
    <cellStyle name="40% - Accent5 6 2 10" xfId="6770"/>
    <cellStyle name="40% - Accent5 6 2 10 2" xfId="29545"/>
    <cellStyle name="40% - Accent5 6 2 11" xfId="7426"/>
    <cellStyle name="40% - Accent5 6 2 11 2" xfId="30201"/>
    <cellStyle name="40% - Accent5 6 2 12" xfId="8082"/>
    <cellStyle name="40% - Accent5 6 2 12 2" xfId="30857"/>
    <cellStyle name="40% - Accent5 6 2 13" xfId="8738"/>
    <cellStyle name="40% - Accent5 6 2 13 2" xfId="31513"/>
    <cellStyle name="40% - Accent5 6 2 14" xfId="9394"/>
    <cellStyle name="40% - Accent5 6 2 14 2" xfId="32169"/>
    <cellStyle name="40% - Accent5 6 2 15" xfId="10050"/>
    <cellStyle name="40% - Accent5 6 2 15 2" xfId="32825"/>
    <cellStyle name="40% - Accent5 6 2 16" xfId="10706"/>
    <cellStyle name="40% - Accent5 6 2 16 2" xfId="33481"/>
    <cellStyle name="40% - Accent5 6 2 17" xfId="11362"/>
    <cellStyle name="40% - Accent5 6 2 17 2" xfId="34137"/>
    <cellStyle name="40% - Accent5 6 2 18" xfId="12018"/>
    <cellStyle name="40% - Accent5 6 2 18 2" xfId="34793"/>
    <cellStyle name="40% - Accent5 6 2 19" xfId="12674"/>
    <cellStyle name="40% - Accent5 6 2 19 2" xfId="35449"/>
    <cellStyle name="40% - Accent5 6 2 2" xfId="866"/>
    <cellStyle name="40% - Accent5 6 2 2 10" xfId="8410"/>
    <cellStyle name="40% - Accent5 6 2 2 10 2" xfId="31185"/>
    <cellStyle name="40% - Accent5 6 2 2 11" xfId="9066"/>
    <cellStyle name="40% - Accent5 6 2 2 11 2" xfId="31841"/>
    <cellStyle name="40% - Accent5 6 2 2 12" xfId="9722"/>
    <cellStyle name="40% - Accent5 6 2 2 12 2" xfId="32497"/>
    <cellStyle name="40% - Accent5 6 2 2 13" xfId="10378"/>
    <cellStyle name="40% - Accent5 6 2 2 13 2" xfId="33153"/>
    <cellStyle name="40% - Accent5 6 2 2 14" xfId="11034"/>
    <cellStyle name="40% - Accent5 6 2 2 14 2" xfId="33809"/>
    <cellStyle name="40% - Accent5 6 2 2 15" xfId="11690"/>
    <cellStyle name="40% - Accent5 6 2 2 15 2" xfId="34465"/>
    <cellStyle name="40% - Accent5 6 2 2 16" xfId="12346"/>
    <cellStyle name="40% - Accent5 6 2 2 16 2" xfId="35121"/>
    <cellStyle name="40% - Accent5 6 2 2 17" xfId="13002"/>
    <cellStyle name="40% - Accent5 6 2 2 17 2" xfId="35777"/>
    <cellStyle name="40% - Accent5 6 2 2 18" xfId="13658"/>
    <cellStyle name="40% - Accent5 6 2 2 18 2" xfId="36433"/>
    <cellStyle name="40% - Accent5 6 2 2 19" xfId="14314"/>
    <cellStyle name="40% - Accent5 6 2 2 19 2" xfId="37089"/>
    <cellStyle name="40% - Accent5 6 2 2 2" xfId="1522"/>
    <cellStyle name="40% - Accent5 6 2 2 2 2" xfId="3818"/>
    <cellStyle name="40% - Accent5 6 2 2 2 2 2" xfId="26593"/>
    <cellStyle name="40% - Accent5 6 2 2 2 3" xfId="24297"/>
    <cellStyle name="40% - Accent5 6 2 2 20" xfId="14970"/>
    <cellStyle name="40% - Accent5 6 2 2 20 2" xfId="37745"/>
    <cellStyle name="40% - Accent5 6 2 2 21" xfId="15626"/>
    <cellStyle name="40% - Accent5 6 2 2 21 2" xfId="38401"/>
    <cellStyle name="40% - Accent5 6 2 2 22" xfId="16282"/>
    <cellStyle name="40% - Accent5 6 2 2 22 2" xfId="39057"/>
    <cellStyle name="40% - Accent5 6 2 2 23" xfId="16938"/>
    <cellStyle name="40% - Accent5 6 2 2 23 2" xfId="39713"/>
    <cellStyle name="40% - Accent5 6 2 2 24" xfId="17594"/>
    <cellStyle name="40% - Accent5 6 2 2 24 2" xfId="40369"/>
    <cellStyle name="40% - Accent5 6 2 2 25" xfId="18250"/>
    <cellStyle name="40% - Accent5 6 2 2 25 2" xfId="41025"/>
    <cellStyle name="40% - Accent5 6 2 2 26" xfId="18906"/>
    <cellStyle name="40% - Accent5 6 2 2 26 2" xfId="41681"/>
    <cellStyle name="40% - Accent5 6 2 2 27" xfId="19562"/>
    <cellStyle name="40% - Accent5 6 2 2 27 2" xfId="42337"/>
    <cellStyle name="40% - Accent5 6 2 2 28" xfId="20218"/>
    <cellStyle name="40% - Accent5 6 2 2 28 2" xfId="42993"/>
    <cellStyle name="40% - Accent5 6 2 2 29" xfId="20874"/>
    <cellStyle name="40% - Accent5 6 2 2 29 2" xfId="43649"/>
    <cellStyle name="40% - Accent5 6 2 2 3" xfId="2178"/>
    <cellStyle name="40% - Accent5 6 2 2 3 2" xfId="4474"/>
    <cellStyle name="40% - Accent5 6 2 2 3 2 2" xfId="27249"/>
    <cellStyle name="40% - Accent5 6 2 2 3 3" xfId="24953"/>
    <cellStyle name="40% - Accent5 6 2 2 30" xfId="21530"/>
    <cellStyle name="40% - Accent5 6 2 2 30 2" xfId="44305"/>
    <cellStyle name="40% - Accent5 6 2 2 31" xfId="22186"/>
    <cellStyle name="40% - Accent5 6 2 2 31 2" xfId="44961"/>
    <cellStyle name="40% - Accent5 6 2 2 32" xfId="22842"/>
    <cellStyle name="40% - Accent5 6 2 2 32 2" xfId="45617"/>
    <cellStyle name="40% - Accent5 6 2 2 33" xfId="23641"/>
    <cellStyle name="40% - Accent5 6 2 2 4" xfId="5130"/>
    <cellStyle name="40% - Accent5 6 2 2 4 2" xfId="27905"/>
    <cellStyle name="40% - Accent5 6 2 2 5" xfId="5786"/>
    <cellStyle name="40% - Accent5 6 2 2 5 2" xfId="28561"/>
    <cellStyle name="40% - Accent5 6 2 2 6" xfId="6442"/>
    <cellStyle name="40% - Accent5 6 2 2 6 2" xfId="29217"/>
    <cellStyle name="40% - Accent5 6 2 2 7" xfId="3162"/>
    <cellStyle name="40% - Accent5 6 2 2 7 2" xfId="25937"/>
    <cellStyle name="40% - Accent5 6 2 2 8" xfId="7098"/>
    <cellStyle name="40% - Accent5 6 2 2 8 2" xfId="29873"/>
    <cellStyle name="40% - Accent5 6 2 2 9" xfId="7754"/>
    <cellStyle name="40% - Accent5 6 2 2 9 2" xfId="30529"/>
    <cellStyle name="40% - Accent5 6 2 20" xfId="13330"/>
    <cellStyle name="40% - Accent5 6 2 20 2" xfId="36105"/>
    <cellStyle name="40% - Accent5 6 2 21" xfId="13986"/>
    <cellStyle name="40% - Accent5 6 2 21 2" xfId="36761"/>
    <cellStyle name="40% - Accent5 6 2 22" xfId="14642"/>
    <cellStyle name="40% - Accent5 6 2 22 2" xfId="37417"/>
    <cellStyle name="40% - Accent5 6 2 23" xfId="15298"/>
    <cellStyle name="40% - Accent5 6 2 23 2" xfId="38073"/>
    <cellStyle name="40% - Accent5 6 2 24" xfId="15954"/>
    <cellStyle name="40% - Accent5 6 2 24 2" xfId="38729"/>
    <cellStyle name="40% - Accent5 6 2 25" xfId="16610"/>
    <cellStyle name="40% - Accent5 6 2 25 2" xfId="39385"/>
    <cellStyle name="40% - Accent5 6 2 26" xfId="17266"/>
    <cellStyle name="40% - Accent5 6 2 26 2" xfId="40041"/>
    <cellStyle name="40% - Accent5 6 2 27" xfId="17922"/>
    <cellStyle name="40% - Accent5 6 2 27 2" xfId="40697"/>
    <cellStyle name="40% - Accent5 6 2 28" xfId="18578"/>
    <cellStyle name="40% - Accent5 6 2 28 2" xfId="41353"/>
    <cellStyle name="40% - Accent5 6 2 29" xfId="19234"/>
    <cellStyle name="40% - Accent5 6 2 29 2" xfId="42009"/>
    <cellStyle name="40% - Accent5 6 2 3" xfId="1194"/>
    <cellStyle name="40% - Accent5 6 2 3 2" xfId="2834"/>
    <cellStyle name="40% - Accent5 6 2 3 2 2" xfId="25609"/>
    <cellStyle name="40% - Accent5 6 2 3 3" xfId="23969"/>
    <cellStyle name="40% - Accent5 6 2 30" xfId="19890"/>
    <cellStyle name="40% - Accent5 6 2 30 2" xfId="42665"/>
    <cellStyle name="40% - Accent5 6 2 31" xfId="20546"/>
    <cellStyle name="40% - Accent5 6 2 31 2" xfId="43321"/>
    <cellStyle name="40% - Accent5 6 2 32" xfId="21202"/>
    <cellStyle name="40% - Accent5 6 2 32 2" xfId="43977"/>
    <cellStyle name="40% - Accent5 6 2 33" xfId="21858"/>
    <cellStyle name="40% - Accent5 6 2 33 2" xfId="44633"/>
    <cellStyle name="40% - Accent5 6 2 34" xfId="22514"/>
    <cellStyle name="40% - Accent5 6 2 34 2" xfId="45289"/>
    <cellStyle name="40% - Accent5 6 2 35" xfId="23313"/>
    <cellStyle name="40% - Accent5 6 2 4" xfId="1850"/>
    <cellStyle name="40% - Accent5 6 2 4 2" xfId="3490"/>
    <cellStyle name="40% - Accent5 6 2 4 2 2" xfId="26265"/>
    <cellStyle name="40% - Accent5 6 2 4 3" xfId="24625"/>
    <cellStyle name="40% - Accent5 6 2 5" xfId="4146"/>
    <cellStyle name="40% - Accent5 6 2 5 2" xfId="26921"/>
    <cellStyle name="40% - Accent5 6 2 6" xfId="4802"/>
    <cellStyle name="40% - Accent5 6 2 6 2" xfId="27577"/>
    <cellStyle name="40% - Accent5 6 2 7" xfId="5458"/>
    <cellStyle name="40% - Accent5 6 2 7 2" xfId="28233"/>
    <cellStyle name="40% - Accent5 6 2 8" xfId="6114"/>
    <cellStyle name="40% - Accent5 6 2 8 2" xfId="28889"/>
    <cellStyle name="40% - Accent5 6 2 9" xfId="2506"/>
    <cellStyle name="40% - Accent5 6 2 9 2" xfId="25281"/>
    <cellStyle name="40% - Accent5 6 20" xfId="12489"/>
    <cellStyle name="40% - Accent5 6 20 2" xfId="35264"/>
    <cellStyle name="40% - Accent5 6 21" xfId="13145"/>
    <cellStyle name="40% - Accent5 6 21 2" xfId="35920"/>
    <cellStyle name="40% - Accent5 6 22" xfId="13801"/>
    <cellStyle name="40% - Accent5 6 22 2" xfId="36576"/>
    <cellStyle name="40% - Accent5 6 23" xfId="14457"/>
    <cellStyle name="40% - Accent5 6 23 2" xfId="37232"/>
    <cellStyle name="40% - Accent5 6 24" xfId="15113"/>
    <cellStyle name="40% - Accent5 6 24 2" xfId="37888"/>
    <cellStyle name="40% - Accent5 6 25" xfId="15769"/>
    <cellStyle name="40% - Accent5 6 25 2" xfId="38544"/>
    <cellStyle name="40% - Accent5 6 26" xfId="16425"/>
    <cellStyle name="40% - Accent5 6 26 2" xfId="39200"/>
    <cellStyle name="40% - Accent5 6 27" xfId="17081"/>
    <cellStyle name="40% - Accent5 6 27 2" xfId="39856"/>
    <cellStyle name="40% - Accent5 6 28" xfId="17737"/>
    <cellStyle name="40% - Accent5 6 28 2" xfId="40512"/>
    <cellStyle name="40% - Accent5 6 29" xfId="18393"/>
    <cellStyle name="40% - Accent5 6 29 2" xfId="41168"/>
    <cellStyle name="40% - Accent5 6 3" xfId="681"/>
    <cellStyle name="40% - Accent5 6 3 10" xfId="8225"/>
    <cellStyle name="40% - Accent5 6 3 10 2" xfId="31000"/>
    <cellStyle name="40% - Accent5 6 3 11" xfId="8881"/>
    <cellStyle name="40% - Accent5 6 3 11 2" xfId="31656"/>
    <cellStyle name="40% - Accent5 6 3 12" xfId="9537"/>
    <cellStyle name="40% - Accent5 6 3 12 2" xfId="32312"/>
    <cellStyle name="40% - Accent5 6 3 13" xfId="10193"/>
    <cellStyle name="40% - Accent5 6 3 13 2" xfId="32968"/>
    <cellStyle name="40% - Accent5 6 3 14" xfId="10849"/>
    <cellStyle name="40% - Accent5 6 3 14 2" xfId="33624"/>
    <cellStyle name="40% - Accent5 6 3 15" xfId="11505"/>
    <cellStyle name="40% - Accent5 6 3 15 2" xfId="34280"/>
    <cellStyle name="40% - Accent5 6 3 16" xfId="12161"/>
    <cellStyle name="40% - Accent5 6 3 16 2" xfId="34936"/>
    <cellStyle name="40% - Accent5 6 3 17" xfId="12817"/>
    <cellStyle name="40% - Accent5 6 3 17 2" xfId="35592"/>
    <cellStyle name="40% - Accent5 6 3 18" xfId="13473"/>
    <cellStyle name="40% - Accent5 6 3 18 2" xfId="36248"/>
    <cellStyle name="40% - Accent5 6 3 19" xfId="14129"/>
    <cellStyle name="40% - Accent5 6 3 19 2" xfId="36904"/>
    <cellStyle name="40% - Accent5 6 3 2" xfId="1337"/>
    <cellStyle name="40% - Accent5 6 3 2 2" xfId="3633"/>
    <cellStyle name="40% - Accent5 6 3 2 2 2" xfId="26408"/>
    <cellStyle name="40% - Accent5 6 3 2 3" xfId="24112"/>
    <cellStyle name="40% - Accent5 6 3 20" xfId="14785"/>
    <cellStyle name="40% - Accent5 6 3 20 2" xfId="37560"/>
    <cellStyle name="40% - Accent5 6 3 21" xfId="15441"/>
    <cellStyle name="40% - Accent5 6 3 21 2" xfId="38216"/>
    <cellStyle name="40% - Accent5 6 3 22" xfId="16097"/>
    <cellStyle name="40% - Accent5 6 3 22 2" xfId="38872"/>
    <cellStyle name="40% - Accent5 6 3 23" xfId="16753"/>
    <cellStyle name="40% - Accent5 6 3 23 2" xfId="39528"/>
    <cellStyle name="40% - Accent5 6 3 24" xfId="17409"/>
    <cellStyle name="40% - Accent5 6 3 24 2" xfId="40184"/>
    <cellStyle name="40% - Accent5 6 3 25" xfId="18065"/>
    <cellStyle name="40% - Accent5 6 3 25 2" xfId="40840"/>
    <cellStyle name="40% - Accent5 6 3 26" xfId="18721"/>
    <cellStyle name="40% - Accent5 6 3 26 2" xfId="41496"/>
    <cellStyle name="40% - Accent5 6 3 27" xfId="19377"/>
    <cellStyle name="40% - Accent5 6 3 27 2" xfId="42152"/>
    <cellStyle name="40% - Accent5 6 3 28" xfId="20033"/>
    <cellStyle name="40% - Accent5 6 3 28 2" xfId="42808"/>
    <cellStyle name="40% - Accent5 6 3 29" xfId="20689"/>
    <cellStyle name="40% - Accent5 6 3 29 2" xfId="43464"/>
    <cellStyle name="40% - Accent5 6 3 3" xfId="1993"/>
    <cellStyle name="40% - Accent5 6 3 3 2" xfId="4289"/>
    <cellStyle name="40% - Accent5 6 3 3 2 2" xfId="27064"/>
    <cellStyle name="40% - Accent5 6 3 3 3" xfId="24768"/>
    <cellStyle name="40% - Accent5 6 3 30" xfId="21345"/>
    <cellStyle name="40% - Accent5 6 3 30 2" xfId="44120"/>
    <cellStyle name="40% - Accent5 6 3 31" xfId="22001"/>
    <cellStyle name="40% - Accent5 6 3 31 2" xfId="44776"/>
    <cellStyle name="40% - Accent5 6 3 32" xfId="22657"/>
    <cellStyle name="40% - Accent5 6 3 32 2" xfId="45432"/>
    <cellStyle name="40% - Accent5 6 3 33" xfId="23456"/>
    <cellStyle name="40% - Accent5 6 3 4" xfId="4945"/>
    <cellStyle name="40% - Accent5 6 3 4 2" xfId="27720"/>
    <cellStyle name="40% - Accent5 6 3 5" xfId="5601"/>
    <cellStyle name="40% - Accent5 6 3 5 2" xfId="28376"/>
    <cellStyle name="40% - Accent5 6 3 6" xfId="6257"/>
    <cellStyle name="40% - Accent5 6 3 6 2" xfId="29032"/>
    <cellStyle name="40% - Accent5 6 3 7" xfId="2977"/>
    <cellStyle name="40% - Accent5 6 3 7 2" xfId="25752"/>
    <cellStyle name="40% - Accent5 6 3 8" xfId="6913"/>
    <cellStyle name="40% - Accent5 6 3 8 2" xfId="29688"/>
    <cellStyle name="40% - Accent5 6 3 9" xfId="7569"/>
    <cellStyle name="40% - Accent5 6 3 9 2" xfId="30344"/>
    <cellStyle name="40% - Accent5 6 30" xfId="19049"/>
    <cellStyle name="40% - Accent5 6 30 2" xfId="41824"/>
    <cellStyle name="40% - Accent5 6 31" xfId="19705"/>
    <cellStyle name="40% - Accent5 6 31 2" xfId="42480"/>
    <cellStyle name="40% - Accent5 6 32" xfId="20361"/>
    <cellStyle name="40% - Accent5 6 32 2" xfId="43136"/>
    <cellStyle name="40% - Accent5 6 33" xfId="21017"/>
    <cellStyle name="40% - Accent5 6 33 2" xfId="43792"/>
    <cellStyle name="40% - Accent5 6 34" xfId="21673"/>
    <cellStyle name="40% - Accent5 6 34 2" xfId="44448"/>
    <cellStyle name="40% - Accent5 6 35" xfId="22329"/>
    <cellStyle name="40% - Accent5 6 35 2" xfId="45104"/>
    <cellStyle name="40% - Accent5 6 36" xfId="268"/>
    <cellStyle name="40% - Accent5 6 37" xfId="22985"/>
    <cellStyle name="40% - Accent5 6 4" xfId="354"/>
    <cellStyle name="40% - Accent5 6 4 2" xfId="2649"/>
    <cellStyle name="40% - Accent5 6 4 2 2" xfId="25424"/>
    <cellStyle name="40% - Accent5 6 4 3" xfId="23128"/>
    <cellStyle name="40% - Accent5 6 5" xfId="1009"/>
    <cellStyle name="40% - Accent5 6 5 2" xfId="3305"/>
    <cellStyle name="40% - Accent5 6 5 2 2" xfId="26080"/>
    <cellStyle name="40% - Accent5 6 5 3" xfId="23784"/>
    <cellStyle name="40% - Accent5 6 6" xfId="1665"/>
    <cellStyle name="40% - Accent5 6 6 2" xfId="3961"/>
    <cellStyle name="40% - Accent5 6 6 2 2" xfId="26736"/>
    <cellStyle name="40% - Accent5 6 6 3" xfId="24440"/>
    <cellStyle name="40% - Accent5 6 7" xfId="4617"/>
    <cellStyle name="40% - Accent5 6 7 2" xfId="27392"/>
    <cellStyle name="40% - Accent5 6 8" xfId="5273"/>
    <cellStyle name="40% - Accent5 6 8 2" xfId="28048"/>
    <cellStyle name="40% - Accent5 6 9" xfId="5929"/>
    <cellStyle name="40% - Accent5 6 9 2" xfId="28704"/>
    <cellStyle name="40% - Accent5 7" xfId="427"/>
    <cellStyle name="40% - Accent5 7 10" xfId="6658"/>
    <cellStyle name="40% - Accent5 7 10 2" xfId="29433"/>
    <cellStyle name="40% - Accent5 7 11" xfId="7314"/>
    <cellStyle name="40% - Accent5 7 11 2" xfId="30089"/>
    <cellStyle name="40% - Accent5 7 12" xfId="7970"/>
    <cellStyle name="40% - Accent5 7 12 2" xfId="30745"/>
    <cellStyle name="40% - Accent5 7 13" xfId="8626"/>
    <cellStyle name="40% - Accent5 7 13 2" xfId="31401"/>
    <cellStyle name="40% - Accent5 7 14" xfId="9282"/>
    <cellStyle name="40% - Accent5 7 14 2" xfId="32057"/>
    <cellStyle name="40% - Accent5 7 15" xfId="9938"/>
    <cellStyle name="40% - Accent5 7 15 2" xfId="32713"/>
    <cellStyle name="40% - Accent5 7 16" xfId="10594"/>
    <cellStyle name="40% - Accent5 7 16 2" xfId="33369"/>
    <cellStyle name="40% - Accent5 7 17" xfId="11250"/>
    <cellStyle name="40% - Accent5 7 17 2" xfId="34025"/>
    <cellStyle name="40% - Accent5 7 18" xfId="11906"/>
    <cellStyle name="40% - Accent5 7 18 2" xfId="34681"/>
    <cellStyle name="40% - Accent5 7 19" xfId="12562"/>
    <cellStyle name="40% - Accent5 7 19 2" xfId="35337"/>
    <cellStyle name="40% - Accent5 7 2" xfId="754"/>
    <cellStyle name="40% - Accent5 7 2 10" xfId="8298"/>
    <cellStyle name="40% - Accent5 7 2 10 2" xfId="31073"/>
    <cellStyle name="40% - Accent5 7 2 11" xfId="8954"/>
    <cellStyle name="40% - Accent5 7 2 11 2" xfId="31729"/>
    <cellStyle name="40% - Accent5 7 2 12" xfId="9610"/>
    <cellStyle name="40% - Accent5 7 2 12 2" xfId="32385"/>
    <cellStyle name="40% - Accent5 7 2 13" xfId="10266"/>
    <cellStyle name="40% - Accent5 7 2 13 2" xfId="33041"/>
    <cellStyle name="40% - Accent5 7 2 14" xfId="10922"/>
    <cellStyle name="40% - Accent5 7 2 14 2" xfId="33697"/>
    <cellStyle name="40% - Accent5 7 2 15" xfId="11578"/>
    <cellStyle name="40% - Accent5 7 2 15 2" xfId="34353"/>
    <cellStyle name="40% - Accent5 7 2 16" xfId="12234"/>
    <cellStyle name="40% - Accent5 7 2 16 2" xfId="35009"/>
    <cellStyle name="40% - Accent5 7 2 17" xfId="12890"/>
    <cellStyle name="40% - Accent5 7 2 17 2" xfId="35665"/>
    <cellStyle name="40% - Accent5 7 2 18" xfId="13546"/>
    <cellStyle name="40% - Accent5 7 2 18 2" xfId="36321"/>
    <cellStyle name="40% - Accent5 7 2 19" xfId="14202"/>
    <cellStyle name="40% - Accent5 7 2 19 2" xfId="36977"/>
    <cellStyle name="40% - Accent5 7 2 2" xfId="1410"/>
    <cellStyle name="40% - Accent5 7 2 2 2" xfId="3706"/>
    <cellStyle name="40% - Accent5 7 2 2 2 2" xfId="26481"/>
    <cellStyle name="40% - Accent5 7 2 2 3" xfId="24185"/>
    <cellStyle name="40% - Accent5 7 2 20" xfId="14858"/>
    <cellStyle name="40% - Accent5 7 2 20 2" xfId="37633"/>
    <cellStyle name="40% - Accent5 7 2 21" xfId="15514"/>
    <cellStyle name="40% - Accent5 7 2 21 2" xfId="38289"/>
    <cellStyle name="40% - Accent5 7 2 22" xfId="16170"/>
    <cellStyle name="40% - Accent5 7 2 22 2" xfId="38945"/>
    <cellStyle name="40% - Accent5 7 2 23" xfId="16826"/>
    <cellStyle name="40% - Accent5 7 2 23 2" xfId="39601"/>
    <cellStyle name="40% - Accent5 7 2 24" xfId="17482"/>
    <cellStyle name="40% - Accent5 7 2 24 2" xfId="40257"/>
    <cellStyle name="40% - Accent5 7 2 25" xfId="18138"/>
    <cellStyle name="40% - Accent5 7 2 25 2" xfId="40913"/>
    <cellStyle name="40% - Accent5 7 2 26" xfId="18794"/>
    <cellStyle name="40% - Accent5 7 2 26 2" xfId="41569"/>
    <cellStyle name="40% - Accent5 7 2 27" xfId="19450"/>
    <cellStyle name="40% - Accent5 7 2 27 2" xfId="42225"/>
    <cellStyle name="40% - Accent5 7 2 28" xfId="20106"/>
    <cellStyle name="40% - Accent5 7 2 28 2" xfId="42881"/>
    <cellStyle name="40% - Accent5 7 2 29" xfId="20762"/>
    <cellStyle name="40% - Accent5 7 2 29 2" xfId="43537"/>
    <cellStyle name="40% - Accent5 7 2 3" xfId="2066"/>
    <cellStyle name="40% - Accent5 7 2 3 2" xfId="4362"/>
    <cellStyle name="40% - Accent5 7 2 3 2 2" xfId="27137"/>
    <cellStyle name="40% - Accent5 7 2 3 3" xfId="24841"/>
    <cellStyle name="40% - Accent5 7 2 30" xfId="21418"/>
    <cellStyle name="40% - Accent5 7 2 30 2" xfId="44193"/>
    <cellStyle name="40% - Accent5 7 2 31" xfId="22074"/>
    <cellStyle name="40% - Accent5 7 2 31 2" xfId="44849"/>
    <cellStyle name="40% - Accent5 7 2 32" xfId="22730"/>
    <cellStyle name="40% - Accent5 7 2 32 2" xfId="45505"/>
    <cellStyle name="40% - Accent5 7 2 33" xfId="23529"/>
    <cellStyle name="40% - Accent5 7 2 4" xfId="5018"/>
    <cellStyle name="40% - Accent5 7 2 4 2" xfId="27793"/>
    <cellStyle name="40% - Accent5 7 2 5" xfId="5674"/>
    <cellStyle name="40% - Accent5 7 2 5 2" xfId="28449"/>
    <cellStyle name="40% - Accent5 7 2 6" xfId="6330"/>
    <cellStyle name="40% - Accent5 7 2 6 2" xfId="29105"/>
    <cellStyle name="40% - Accent5 7 2 7" xfId="3050"/>
    <cellStyle name="40% - Accent5 7 2 7 2" xfId="25825"/>
    <cellStyle name="40% - Accent5 7 2 8" xfId="6986"/>
    <cellStyle name="40% - Accent5 7 2 8 2" xfId="29761"/>
    <cellStyle name="40% - Accent5 7 2 9" xfId="7642"/>
    <cellStyle name="40% - Accent5 7 2 9 2" xfId="30417"/>
    <cellStyle name="40% - Accent5 7 20" xfId="13218"/>
    <cellStyle name="40% - Accent5 7 20 2" xfId="35993"/>
    <cellStyle name="40% - Accent5 7 21" xfId="13874"/>
    <cellStyle name="40% - Accent5 7 21 2" xfId="36649"/>
    <cellStyle name="40% - Accent5 7 22" xfId="14530"/>
    <cellStyle name="40% - Accent5 7 22 2" xfId="37305"/>
    <cellStyle name="40% - Accent5 7 23" xfId="15186"/>
    <cellStyle name="40% - Accent5 7 23 2" xfId="37961"/>
    <cellStyle name="40% - Accent5 7 24" xfId="15842"/>
    <cellStyle name="40% - Accent5 7 24 2" xfId="38617"/>
    <cellStyle name="40% - Accent5 7 25" xfId="16498"/>
    <cellStyle name="40% - Accent5 7 25 2" xfId="39273"/>
    <cellStyle name="40% - Accent5 7 26" xfId="17154"/>
    <cellStyle name="40% - Accent5 7 26 2" xfId="39929"/>
    <cellStyle name="40% - Accent5 7 27" xfId="17810"/>
    <cellStyle name="40% - Accent5 7 27 2" xfId="40585"/>
    <cellStyle name="40% - Accent5 7 28" xfId="18466"/>
    <cellStyle name="40% - Accent5 7 28 2" xfId="41241"/>
    <cellStyle name="40% - Accent5 7 29" xfId="19122"/>
    <cellStyle name="40% - Accent5 7 29 2" xfId="41897"/>
    <cellStyle name="40% - Accent5 7 3" xfId="1082"/>
    <cellStyle name="40% - Accent5 7 3 2" xfId="2722"/>
    <cellStyle name="40% - Accent5 7 3 2 2" xfId="25497"/>
    <cellStyle name="40% - Accent5 7 3 3" xfId="23857"/>
    <cellStyle name="40% - Accent5 7 30" xfId="19778"/>
    <cellStyle name="40% - Accent5 7 30 2" xfId="42553"/>
    <cellStyle name="40% - Accent5 7 31" xfId="20434"/>
    <cellStyle name="40% - Accent5 7 31 2" xfId="43209"/>
    <cellStyle name="40% - Accent5 7 32" xfId="21090"/>
    <cellStyle name="40% - Accent5 7 32 2" xfId="43865"/>
    <cellStyle name="40% - Accent5 7 33" xfId="21746"/>
    <cellStyle name="40% - Accent5 7 33 2" xfId="44521"/>
    <cellStyle name="40% - Accent5 7 34" xfId="22402"/>
    <cellStyle name="40% - Accent5 7 34 2" xfId="45177"/>
    <cellStyle name="40% - Accent5 7 35" xfId="23201"/>
    <cellStyle name="40% - Accent5 7 4" xfId="1738"/>
    <cellStyle name="40% - Accent5 7 4 2" xfId="3378"/>
    <cellStyle name="40% - Accent5 7 4 2 2" xfId="26153"/>
    <cellStyle name="40% - Accent5 7 4 3" xfId="24513"/>
    <cellStyle name="40% - Accent5 7 5" xfId="4034"/>
    <cellStyle name="40% - Accent5 7 5 2" xfId="26809"/>
    <cellStyle name="40% - Accent5 7 6" xfId="4690"/>
    <cellStyle name="40% - Accent5 7 6 2" xfId="27465"/>
    <cellStyle name="40% - Accent5 7 7" xfId="5346"/>
    <cellStyle name="40% - Accent5 7 7 2" xfId="28121"/>
    <cellStyle name="40% - Accent5 7 8" xfId="6002"/>
    <cellStyle name="40% - Accent5 7 8 2" xfId="28777"/>
    <cellStyle name="40% - Accent5 7 9" xfId="2394"/>
    <cellStyle name="40% - Accent5 7 9 2" xfId="25169"/>
    <cellStyle name="40% - Accent5 8" xfId="441"/>
    <cellStyle name="40% - Accent5 8 10" xfId="6672"/>
    <cellStyle name="40% - Accent5 8 10 2" xfId="29447"/>
    <cellStyle name="40% - Accent5 8 11" xfId="7328"/>
    <cellStyle name="40% - Accent5 8 11 2" xfId="30103"/>
    <cellStyle name="40% - Accent5 8 12" xfId="7984"/>
    <cellStyle name="40% - Accent5 8 12 2" xfId="30759"/>
    <cellStyle name="40% - Accent5 8 13" xfId="8640"/>
    <cellStyle name="40% - Accent5 8 13 2" xfId="31415"/>
    <cellStyle name="40% - Accent5 8 14" xfId="9296"/>
    <cellStyle name="40% - Accent5 8 14 2" xfId="32071"/>
    <cellStyle name="40% - Accent5 8 15" xfId="9952"/>
    <cellStyle name="40% - Accent5 8 15 2" xfId="32727"/>
    <cellStyle name="40% - Accent5 8 16" xfId="10608"/>
    <cellStyle name="40% - Accent5 8 16 2" xfId="33383"/>
    <cellStyle name="40% - Accent5 8 17" xfId="11264"/>
    <cellStyle name="40% - Accent5 8 17 2" xfId="34039"/>
    <cellStyle name="40% - Accent5 8 18" xfId="11920"/>
    <cellStyle name="40% - Accent5 8 18 2" xfId="34695"/>
    <cellStyle name="40% - Accent5 8 19" xfId="12576"/>
    <cellStyle name="40% - Accent5 8 19 2" xfId="35351"/>
    <cellStyle name="40% - Accent5 8 2" xfId="768"/>
    <cellStyle name="40% - Accent5 8 2 10" xfId="8312"/>
    <cellStyle name="40% - Accent5 8 2 10 2" xfId="31087"/>
    <cellStyle name="40% - Accent5 8 2 11" xfId="8968"/>
    <cellStyle name="40% - Accent5 8 2 11 2" xfId="31743"/>
    <cellStyle name="40% - Accent5 8 2 12" xfId="9624"/>
    <cellStyle name="40% - Accent5 8 2 12 2" xfId="32399"/>
    <cellStyle name="40% - Accent5 8 2 13" xfId="10280"/>
    <cellStyle name="40% - Accent5 8 2 13 2" xfId="33055"/>
    <cellStyle name="40% - Accent5 8 2 14" xfId="10936"/>
    <cellStyle name="40% - Accent5 8 2 14 2" xfId="33711"/>
    <cellStyle name="40% - Accent5 8 2 15" xfId="11592"/>
    <cellStyle name="40% - Accent5 8 2 15 2" xfId="34367"/>
    <cellStyle name="40% - Accent5 8 2 16" xfId="12248"/>
    <cellStyle name="40% - Accent5 8 2 16 2" xfId="35023"/>
    <cellStyle name="40% - Accent5 8 2 17" xfId="12904"/>
    <cellStyle name="40% - Accent5 8 2 17 2" xfId="35679"/>
    <cellStyle name="40% - Accent5 8 2 18" xfId="13560"/>
    <cellStyle name="40% - Accent5 8 2 18 2" xfId="36335"/>
    <cellStyle name="40% - Accent5 8 2 19" xfId="14216"/>
    <cellStyle name="40% - Accent5 8 2 19 2" xfId="36991"/>
    <cellStyle name="40% - Accent5 8 2 2" xfId="1424"/>
    <cellStyle name="40% - Accent5 8 2 2 2" xfId="3720"/>
    <cellStyle name="40% - Accent5 8 2 2 2 2" xfId="26495"/>
    <cellStyle name="40% - Accent5 8 2 2 3" xfId="24199"/>
    <cellStyle name="40% - Accent5 8 2 20" xfId="14872"/>
    <cellStyle name="40% - Accent5 8 2 20 2" xfId="37647"/>
    <cellStyle name="40% - Accent5 8 2 21" xfId="15528"/>
    <cellStyle name="40% - Accent5 8 2 21 2" xfId="38303"/>
    <cellStyle name="40% - Accent5 8 2 22" xfId="16184"/>
    <cellStyle name="40% - Accent5 8 2 22 2" xfId="38959"/>
    <cellStyle name="40% - Accent5 8 2 23" xfId="16840"/>
    <cellStyle name="40% - Accent5 8 2 23 2" xfId="39615"/>
    <cellStyle name="40% - Accent5 8 2 24" xfId="17496"/>
    <cellStyle name="40% - Accent5 8 2 24 2" xfId="40271"/>
    <cellStyle name="40% - Accent5 8 2 25" xfId="18152"/>
    <cellStyle name="40% - Accent5 8 2 25 2" xfId="40927"/>
    <cellStyle name="40% - Accent5 8 2 26" xfId="18808"/>
    <cellStyle name="40% - Accent5 8 2 26 2" xfId="41583"/>
    <cellStyle name="40% - Accent5 8 2 27" xfId="19464"/>
    <cellStyle name="40% - Accent5 8 2 27 2" xfId="42239"/>
    <cellStyle name="40% - Accent5 8 2 28" xfId="20120"/>
    <cellStyle name="40% - Accent5 8 2 28 2" xfId="42895"/>
    <cellStyle name="40% - Accent5 8 2 29" xfId="20776"/>
    <cellStyle name="40% - Accent5 8 2 29 2" xfId="43551"/>
    <cellStyle name="40% - Accent5 8 2 3" xfId="2080"/>
    <cellStyle name="40% - Accent5 8 2 3 2" xfId="4376"/>
    <cellStyle name="40% - Accent5 8 2 3 2 2" xfId="27151"/>
    <cellStyle name="40% - Accent5 8 2 3 3" xfId="24855"/>
    <cellStyle name="40% - Accent5 8 2 30" xfId="21432"/>
    <cellStyle name="40% - Accent5 8 2 30 2" xfId="44207"/>
    <cellStyle name="40% - Accent5 8 2 31" xfId="22088"/>
    <cellStyle name="40% - Accent5 8 2 31 2" xfId="44863"/>
    <cellStyle name="40% - Accent5 8 2 32" xfId="22744"/>
    <cellStyle name="40% - Accent5 8 2 32 2" xfId="45519"/>
    <cellStyle name="40% - Accent5 8 2 33" xfId="23543"/>
    <cellStyle name="40% - Accent5 8 2 4" xfId="5032"/>
    <cellStyle name="40% - Accent5 8 2 4 2" xfId="27807"/>
    <cellStyle name="40% - Accent5 8 2 5" xfId="5688"/>
    <cellStyle name="40% - Accent5 8 2 5 2" xfId="28463"/>
    <cellStyle name="40% - Accent5 8 2 6" xfId="6344"/>
    <cellStyle name="40% - Accent5 8 2 6 2" xfId="29119"/>
    <cellStyle name="40% - Accent5 8 2 7" xfId="3064"/>
    <cellStyle name="40% - Accent5 8 2 7 2" xfId="25839"/>
    <cellStyle name="40% - Accent5 8 2 8" xfId="7000"/>
    <cellStyle name="40% - Accent5 8 2 8 2" xfId="29775"/>
    <cellStyle name="40% - Accent5 8 2 9" xfId="7656"/>
    <cellStyle name="40% - Accent5 8 2 9 2" xfId="30431"/>
    <cellStyle name="40% - Accent5 8 20" xfId="13232"/>
    <cellStyle name="40% - Accent5 8 20 2" xfId="36007"/>
    <cellStyle name="40% - Accent5 8 21" xfId="13888"/>
    <cellStyle name="40% - Accent5 8 21 2" xfId="36663"/>
    <cellStyle name="40% - Accent5 8 22" xfId="14544"/>
    <cellStyle name="40% - Accent5 8 22 2" xfId="37319"/>
    <cellStyle name="40% - Accent5 8 23" xfId="15200"/>
    <cellStyle name="40% - Accent5 8 23 2" xfId="37975"/>
    <cellStyle name="40% - Accent5 8 24" xfId="15856"/>
    <cellStyle name="40% - Accent5 8 24 2" xfId="38631"/>
    <cellStyle name="40% - Accent5 8 25" xfId="16512"/>
    <cellStyle name="40% - Accent5 8 25 2" xfId="39287"/>
    <cellStyle name="40% - Accent5 8 26" xfId="17168"/>
    <cellStyle name="40% - Accent5 8 26 2" xfId="39943"/>
    <cellStyle name="40% - Accent5 8 27" xfId="17824"/>
    <cellStyle name="40% - Accent5 8 27 2" xfId="40599"/>
    <cellStyle name="40% - Accent5 8 28" xfId="18480"/>
    <cellStyle name="40% - Accent5 8 28 2" xfId="41255"/>
    <cellStyle name="40% - Accent5 8 29" xfId="19136"/>
    <cellStyle name="40% - Accent5 8 29 2" xfId="41911"/>
    <cellStyle name="40% - Accent5 8 3" xfId="1096"/>
    <cellStyle name="40% - Accent5 8 3 2" xfId="2736"/>
    <cellStyle name="40% - Accent5 8 3 2 2" xfId="25511"/>
    <cellStyle name="40% - Accent5 8 3 3" xfId="23871"/>
    <cellStyle name="40% - Accent5 8 30" xfId="19792"/>
    <cellStyle name="40% - Accent5 8 30 2" xfId="42567"/>
    <cellStyle name="40% - Accent5 8 31" xfId="20448"/>
    <cellStyle name="40% - Accent5 8 31 2" xfId="43223"/>
    <cellStyle name="40% - Accent5 8 32" xfId="21104"/>
    <cellStyle name="40% - Accent5 8 32 2" xfId="43879"/>
    <cellStyle name="40% - Accent5 8 33" xfId="21760"/>
    <cellStyle name="40% - Accent5 8 33 2" xfId="44535"/>
    <cellStyle name="40% - Accent5 8 34" xfId="22416"/>
    <cellStyle name="40% - Accent5 8 34 2" xfId="45191"/>
    <cellStyle name="40% - Accent5 8 35" xfId="23215"/>
    <cellStyle name="40% - Accent5 8 4" xfId="1752"/>
    <cellStyle name="40% - Accent5 8 4 2" xfId="3392"/>
    <cellStyle name="40% - Accent5 8 4 2 2" xfId="26167"/>
    <cellStyle name="40% - Accent5 8 4 3" xfId="24527"/>
    <cellStyle name="40% - Accent5 8 5" xfId="4048"/>
    <cellStyle name="40% - Accent5 8 5 2" xfId="26823"/>
    <cellStyle name="40% - Accent5 8 6" xfId="4704"/>
    <cellStyle name="40% - Accent5 8 6 2" xfId="27479"/>
    <cellStyle name="40% - Accent5 8 7" xfId="5360"/>
    <cellStyle name="40% - Accent5 8 7 2" xfId="28135"/>
    <cellStyle name="40% - Accent5 8 8" xfId="6016"/>
    <cellStyle name="40% - Accent5 8 8 2" xfId="28791"/>
    <cellStyle name="40% - Accent5 8 9" xfId="2408"/>
    <cellStyle name="40% - Accent5 8 9 2" xfId="25183"/>
    <cellStyle name="40% - Accent5 9" xfId="455"/>
    <cellStyle name="40% - Accent5 9 10" xfId="6686"/>
    <cellStyle name="40% - Accent5 9 10 2" xfId="29461"/>
    <cellStyle name="40% - Accent5 9 11" xfId="7342"/>
    <cellStyle name="40% - Accent5 9 11 2" xfId="30117"/>
    <cellStyle name="40% - Accent5 9 12" xfId="7998"/>
    <cellStyle name="40% - Accent5 9 12 2" xfId="30773"/>
    <cellStyle name="40% - Accent5 9 13" xfId="8654"/>
    <cellStyle name="40% - Accent5 9 13 2" xfId="31429"/>
    <cellStyle name="40% - Accent5 9 14" xfId="9310"/>
    <cellStyle name="40% - Accent5 9 14 2" xfId="32085"/>
    <cellStyle name="40% - Accent5 9 15" xfId="9966"/>
    <cellStyle name="40% - Accent5 9 15 2" xfId="32741"/>
    <cellStyle name="40% - Accent5 9 16" xfId="10622"/>
    <cellStyle name="40% - Accent5 9 16 2" xfId="33397"/>
    <cellStyle name="40% - Accent5 9 17" xfId="11278"/>
    <cellStyle name="40% - Accent5 9 17 2" xfId="34053"/>
    <cellStyle name="40% - Accent5 9 18" xfId="11934"/>
    <cellStyle name="40% - Accent5 9 18 2" xfId="34709"/>
    <cellStyle name="40% - Accent5 9 19" xfId="12590"/>
    <cellStyle name="40% - Accent5 9 19 2" xfId="35365"/>
    <cellStyle name="40% - Accent5 9 2" xfId="782"/>
    <cellStyle name="40% - Accent5 9 2 10" xfId="8326"/>
    <cellStyle name="40% - Accent5 9 2 10 2" xfId="31101"/>
    <cellStyle name="40% - Accent5 9 2 11" xfId="8982"/>
    <cellStyle name="40% - Accent5 9 2 11 2" xfId="31757"/>
    <cellStyle name="40% - Accent5 9 2 12" xfId="9638"/>
    <cellStyle name="40% - Accent5 9 2 12 2" xfId="32413"/>
    <cellStyle name="40% - Accent5 9 2 13" xfId="10294"/>
    <cellStyle name="40% - Accent5 9 2 13 2" xfId="33069"/>
    <cellStyle name="40% - Accent5 9 2 14" xfId="10950"/>
    <cellStyle name="40% - Accent5 9 2 14 2" xfId="33725"/>
    <cellStyle name="40% - Accent5 9 2 15" xfId="11606"/>
    <cellStyle name="40% - Accent5 9 2 15 2" xfId="34381"/>
    <cellStyle name="40% - Accent5 9 2 16" xfId="12262"/>
    <cellStyle name="40% - Accent5 9 2 16 2" xfId="35037"/>
    <cellStyle name="40% - Accent5 9 2 17" xfId="12918"/>
    <cellStyle name="40% - Accent5 9 2 17 2" xfId="35693"/>
    <cellStyle name="40% - Accent5 9 2 18" xfId="13574"/>
    <cellStyle name="40% - Accent5 9 2 18 2" xfId="36349"/>
    <cellStyle name="40% - Accent5 9 2 19" xfId="14230"/>
    <cellStyle name="40% - Accent5 9 2 19 2" xfId="37005"/>
    <cellStyle name="40% - Accent5 9 2 2" xfId="1438"/>
    <cellStyle name="40% - Accent5 9 2 2 2" xfId="3734"/>
    <cellStyle name="40% - Accent5 9 2 2 2 2" xfId="26509"/>
    <cellStyle name="40% - Accent5 9 2 2 3" xfId="24213"/>
    <cellStyle name="40% - Accent5 9 2 20" xfId="14886"/>
    <cellStyle name="40% - Accent5 9 2 20 2" xfId="37661"/>
    <cellStyle name="40% - Accent5 9 2 21" xfId="15542"/>
    <cellStyle name="40% - Accent5 9 2 21 2" xfId="38317"/>
    <cellStyle name="40% - Accent5 9 2 22" xfId="16198"/>
    <cellStyle name="40% - Accent5 9 2 22 2" xfId="38973"/>
    <cellStyle name="40% - Accent5 9 2 23" xfId="16854"/>
    <cellStyle name="40% - Accent5 9 2 23 2" xfId="39629"/>
    <cellStyle name="40% - Accent5 9 2 24" xfId="17510"/>
    <cellStyle name="40% - Accent5 9 2 24 2" xfId="40285"/>
    <cellStyle name="40% - Accent5 9 2 25" xfId="18166"/>
    <cellStyle name="40% - Accent5 9 2 25 2" xfId="40941"/>
    <cellStyle name="40% - Accent5 9 2 26" xfId="18822"/>
    <cellStyle name="40% - Accent5 9 2 26 2" xfId="41597"/>
    <cellStyle name="40% - Accent5 9 2 27" xfId="19478"/>
    <cellStyle name="40% - Accent5 9 2 27 2" xfId="42253"/>
    <cellStyle name="40% - Accent5 9 2 28" xfId="20134"/>
    <cellStyle name="40% - Accent5 9 2 28 2" xfId="42909"/>
    <cellStyle name="40% - Accent5 9 2 29" xfId="20790"/>
    <cellStyle name="40% - Accent5 9 2 29 2" xfId="43565"/>
    <cellStyle name="40% - Accent5 9 2 3" xfId="2094"/>
    <cellStyle name="40% - Accent5 9 2 3 2" xfId="4390"/>
    <cellStyle name="40% - Accent5 9 2 3 2 2" xfId="27165"/>
    <cellStyle name="40% - Accent5 9 2 3 3" xfId="24869"/>
    <cellStyle name="40% - Accent5 9 2 30" xfId="21446"/>
    <cellStyle name="40% - Accent5 9 2 30 2" xfId="44221"/>
    <cellStyle name="40% - Accent5 9 2 31" xfId="22102"/>
    <cellStyle name="40% - Accent5 9 2 31 2" xfId="44877"/>
    <cellStyle name="40% - Accent5 9 2 32" xfId="22758"/>
    <cellStyle name="40% - Accent5 9 2 32 2" xfId="45533"/>
    <cellStyle name="40% - Accent5 9 2 33" xfId="23557"/>
    <cellStyle name="40% - Accent5 9 2 4" xfId="5046"/>
    <cellStyle name="40% - Accent5 9 2 4 2" xfId="27821"/>
    <cellStyle name="40% - Accent5 9 2 5" xfId="5702"/>
    <cellStyle name="40% - Accent5 9 2 5 2" xfId="28477"/>
    <cellStyle name="40% - Accent5 9 2 6" xfId="6358"/>
    <cellStyle name="40% - Accent5 9 2 6 2" xfId="29133"/>
    <cellStyle name="40% - Accent5 9 2 7" xfId="3078"/>
    <cellStyle name="40% - Accent5 9 2 7 2" xfId="25853"/>
    <cellStyle name="40% - Accent5 9 2 8" xfId="7014"/>
    <cellStyle name="40% - Accent5 9 2 8 2" xfId="29789"/>
    <cellStyle name="40% - Accent5 9 2 9" xfId="7670"/>
    <cellStyle name="40% - Accent5 9 2 9 2" xfId="30445"/>
    <cellStyle name="40% - Accent5 9 20" xfId="13246"/>
    <cellStyle name="40% - Accent5 9 20 2" xfId="36021"/>
    <cellStyle name="40% - Accent5 9 21" xfId="13902"/>
    <cellStyle name="40% - Accent5 9 21 2" xfId="36677"/>
    <cellStyle name="40% - Accent5 9 22" xfId="14558"/>
    <cellStyle name="40% - Accent5 9 22 2" xfId="37333"/>
    <cellStyle name="40% - Accent5 9 23" xfId="15214"/>
    <cellStyle name="40% - Accent5 9 23 2" xfId="37989"/>
    <cellStyle name="40% - Accent5 9 24" xfId="15870"/>
    <cellStyle name="40% - Accent5 9 24 2" xfId="38645"/>
    <cellStyle name="40% - Accent5 9 25" xfId="16526"/>
    <cellStyle name="40% - Accent5 9 25 2" xfId="39301"/>
    <cellStyle name="40% - Accent5 9 26" xfId="17182"/>
    <cellStyle name="40% - Accent5 9 26 2" xfId="39957"/>
    <cellStyle name="40% - Accent5 9 27" xfId="17838"/>
    <cellStyle name="40% - Accent5 9 27 2" xfId="40613"/>
    <cellStyle name="40% - Accent5 9 28" xfId="18494"/>
    <cellStyle name="40% - Accent5 9 28 2" xfId="41269"/>
    <cellStyle name="40% - Accent5 9 29" xfId="19150"/>
    <cellStyle name="40% - Accent5 9 29 2" xfId="41925"/>
    <cellStyle name="40% - Accent5 9 3" xfId="1110"/>
    <cellStyle name="40% - Accent5 9 3 2" xfId="2750"/>
    <cellStyle name="40% - Accent5 9 3 2 2" xfId="25525"/>
    <cellStyle name="40% - Accent5 9 3 3" xfId="23885"/>
    <cellStyle name="40% - Accent5 9 30" xfId="19806"/>
    <cellStyle name="40% - Accent5 9 30 2" xfId="42581"/>
    <cellStyle name="40% - Accent5 9 31" xfId="20462"/>
    <cellStyle name="40% - Accent5 9 31 2" xfId="43237"/>
    <cellStyle name="40% - Accent5 9 32" xfId="21118"/>
    <cellStyle name="40% - Accent5 9 32 2" xfId="43893"/>
    <cellStyle name="40% - Accent5 9 33" xfId="21774"/>
    <cellStyle name="40% - Accent5 9 33 2" xfId="44549"/>
    <cellStyle name="40% - Accent5 9 34" xfId="22430"/>
    <cellStyle name="40% - Accent5 9 34 2" xfId="45205"/>
    <cellStyle name="40% - Accent5 9 35" xfId="23229"/>
    <cellStyle name="40% - Accent5 9 4" xfId="1766"/>
    <cellStyle name="40% - Accent5 9 4 2" xfId="3406"/>
    <cellStyle name="40% - Accent5 9 4 2 2" xfId="26181"/>
    <cellStyle name="40% - Accent5 9 4 3" xfId="24541"/>
    <cellStyle name="40% - Accent5 9 5" xfId="4062"/>
    <cellStyle name="40% - Accent5 9 5 2" xfId="26837"/>
    <cellStyle name="40% - Accent5 9 6" xfId="4718"/>
    <cellStyle name="40% - Accent5 9 6 2" xfId="27493"/>
    <cellStyle name="40% - Accent5 9 7" xfId="5374"/>
    <cellStyle name="40% - Accent5 9 7 2" xfId="28149"/>
    <cellStyle name="40% - Accent5 9 8" xfId="6030"/>
    <cellStyle name="40% - Accent5 9 8 2" xfId="28805"/>
    <cellStyle name="40% - Accent5 9 9" xfId="2422"/>
    <cellStyle name="40% - Accent5 9 9 2" xfId="25197"/>
    <cellStyle name="40% - Accent6" xfId="42" builtinId="51" customBuiltin="1"/>
    <cellStyle name="40% - Accent6 10" xfId="469"/>
    <cellStyle name="40% - Accent6 10 10" xfId="6700"/>
    <cellStyle name="40% - Accent6 10 10 2" xfId="29475"/>
    <cellStyle name="40% - Accent6 10 11" xfId="7356"/>
    <cellStyle name="40% - Accent6 10 11 2" xfId="30131"/>
    <cellStyle name="40% - Accent6 10 12" xfId="8012"/>
    <cellStyle name="40% - Accent6 10 12 2" xfId="30787"/>
    <cellStyle name="40% - Accent6 10 13" xfId="8668"/>
    <cellStyle name="40% - Accent6 10 13 2" xfId="31443"/>
    <cellStyle name="40% - Accent6 10 14" xfId="9324"/>
    <cellStyle name="40% - Accent6 10 14 2" xfId="32099"/>
    <cellStyle name="40% - Accent6 10 15" xfId="9980"/>
    <cellStyle name="40% - Accent6 10 15 2" xfId="32755"/>
    <cellStyle name="40% - Accent6 10 16" xfId="10636"/>
    <cellStyle name="40% - Accent6 10 16 2" xfId="33411"/>
    <cellStyle name="40% - Accent6 10 17" xfId="11292"/>
    <cellStyle name="40% - Accent6 10 17 2" xfId="34067"/>
    <cellStyle name="40% - Accent6 10 18" xfId="11948"/>
    <cellStyle name="40% - Accent6 10 18 2" xfId="34723"/>
    <cellStyle name="40% - Accent6 10 19" xfId="12604"/>
    <cellStyle name="40% - Accent6 10 19 2" xfId="35379"/>
    <cellStyle name="40% - Accent6 10 2" xfId="796"/>
    <cellStyle name="40% - Accent6 10 2 10" xfId="8340"/>
    <cellStyle name="40% - Accent6 10 2 10 2" xfId="31115"/>
    <cellStyle name="40% - Accent6 10 2 11" xfId="8996"/>
    <cellStyle name="40% - Accent6 10 2 11 2" xfId="31771"/>
    <cellStyle name="40% - Accent6 10 2 12" xfId="9652"/>
    <cellStyle name="40% - Accent6 10 2 12 2" xfId="32427"/>
    <cellStyle name="40% - Accent6 10 2 13" xfId="10308"/>
    <cellStyle name="40% - Accent6 10 2 13 2" xfId="33083"/>
    <cellStyle name="40% - Accent6 10 2 14" xfId="10964"/>
    <cellStyle name="40% - Accent6 10 2 14 2" xfId="33739"/>
    <cellStyle name="40% - Accent6 10 2 15" xfId="11620"/>
    <cellStyle name="40% - Accent6 10 2 15 2" xfId="34395"/>
    <cellStyle name="40% - Accent6 10 2 16" xfId="12276"/>
    <cellStyle name="40% - Accent6 10 2 16 2" xfId="35051"/>
    <cellStyle name="40% - Accent6 10 2 17" xfId="12932"/>
    <cellStyle name="40% - Accent6 10 2 17 2" xfId="35707"/>
    <cellStyle name="40% - Accent6 10 2 18" xfId="13588"/>
    <cellStyle name="40% - Accent6 10 2 18 2" xfId="36363"/>
    <cellStyle name="40% - Accent6 10 2 19" xfId="14244"/>
    <cellStyle name="40% - Accent6 10 2 19 2" xfId="37019"/>
    <cellStyle name="40% - Accent6 10 2 2" xfId="1452"/>
    <cellStyle name="40% - Accent6 10 2 2 2" xfId="3748"/>
    <cellStyle name="40% - Accent6 10 2 2 2 2" xfId="26523"/>
    <cellStyle name="40% - Accent6 10 2 2 3" xfId="24227"/>
    <cellStyle name="40% - Accent6 10 2 20" xfId="14900"/>
    <cellStyle name="40% - Accent6 10 2 20 2" xfId="37675"/>
    <cellStyle name="40% - Accent6 10 2 21" xfId="15556"/>
    <cellStyle name="40% - Accent6 10 2 21 2" xfId="38331"/>
    <cellStyle name="40% - Accent6 10 2 22" xfId="16212"/>
    <cellStyle name="40% - Accent6 10 2 22 2" xfId="38987"/>
    <cellStyle name="40% - Accent6 10 2 23" xfId="16868"/>
    <cellStyle name="40% - Accent6 10 2 23 2" xfId="39643"/>
    <cellStyle name="40% - Accent6 10 2 24" xfId="17524"/>
    <cellStyle name="40% - Accent6 10 2 24 2" xfId="40299"/>
    <cellStyle name="40% - Accent6 10 2 25" xfId="18180"/>
    <cellStyle name="40% - Accent6 10 2 25 2" xfId="40955"/>
    <cellStyle name="40% - Accent6 10 2 26" xfId="18836"/>
    <cellStyle name="40% - Accent6 10 2 26 2" xfId="41611"/>
    <cellStyle name="40% - Accent6 10 2 27" xfId="19492"/>
    <cellStyle name="40% - Accent6 10 2 27 2" xfId="42267"/>
    <cellStyle name="40% - Accent6 10 2 28" xfId="20148"/>
    <cellStyle name="40% - Accent6 10 2 28 2" xfId="42923"/>
    <cellStyle name="40% - Accent6 10 2 29" xfId="20804"/>
    <cellStyle name="40% - Accent6 10 2 29 2" xfId="43579"/>
    <cellStyle name="40% - Accent6 10 2 3" xfId="2108"/>
    <cellStyle name="40% - Accent6 10 2 3 2" xfId="4404"/>
    <cellStyle name="40% - Accent6 10 2 3 2 2" xfId="27179"/>
    <cellStyle name="40% - Accent6 10 2 3 3" xfId="24883"/>
    <cellStyle name="40% - Accent6 10 2 30" xfId="21460"/>
    <cellStyle name="40% - Accent6 10 2 30 2" xfId="44235"/>
    <cellStyle name="40% - Accent6 10 2 31" xfId="22116"/>
    <cellStyle name="40% - Accent6 10 2 31 2" xfId="44891"/>
    <cellStyle name="40% - Accent6 10 2 32" xfId="22772"/>
    <cellStyle name="40% - Accent6 10 2 32 2" xfId="45547"/>
    <cellStyle name="40% - Accent6 10 2 33" xfId="23571"/>
    <cellStyle name="40% - Accent6 10 2 4" xfId="5060"/>
    <cellStyle name="40% - Accent6 10 2 4 2" xfId="27835"/>
    <cellStyle name="40% - Accent6 10 2 5" xfId="5716"/>
    <cellStyle name="40% - Accent6 10 2 5 2" xfId="28491"/>
    <cellStyle name="40% - Accent6 10 2 6" xfId="6372"/>
    <cellStyle name="40% - Accent6 10 2 6 2" xfId="29147"/>
    <cellStyle name="40% - Accent6 10 2 7" xfId="3092"/>
    <cellStyle name="40% - Accent6 10 2 7 2" xfId="25867"/>
    <cellStyle name="40% - Accent6 10 2 8" xfId="7028"/>
    <cellStyle name="40% - Accent6 10 2 8 2" xfId="29803"/>
    <cellStyle name="40% - Accent6 10 2 9" xfId="7684"/>
    <cellStyle name="40% - Accent6 10 2 9 2" xfId="30459"/>
    <cellStyle name="40% - Accent6 10 20" xfId="13260"/>
    <cellStyle name="40% - Accent6 10 20 2" xfId="36035"/>
    <cellStyle name="40% - Accent6 10 21" xfId="13916"/>
    <cellStyle name="40% - Accent6 10 21 2" xfId="36691"/>
    <cellStyle name="40% - Accent6 10 22" xfId="14572"/>
    <cellStyle name="40% - Accent6 10 22 2" xfId="37347"/>
    <cellStyle name="40% - Accent6 10 23" xfId="15228"/>
    <cellStyle name="40% - Accent6 10 23 2" xfId="38003"/>
    <cellStyle name="40% - Accent6 10 24" xfId="15884"/>
    <cellStyle name="40% - Accent6 10 24 2" xfId="38659"/>
    <cellStyle name="40% - Accent6 10 25" xfId="16540"/>
    <cellStyle name="40% - Accent6 10 25 2" xfId="39315"/>
    <cellStyle name="40% - Accent6 10 26" xfId="17196"/>
    <cellStyle name="40% - Accent6 10 26 2" xfId="39971"/>
    <cellStyle name="40% - Accent6 10 27" xfId="17852"/>
    <cellStyle name="40% - Accent6 10 27 2" xfId="40627"/>
    <cellStyle name="40% - Accent6 10 28" xfId="18508"/>
    <cellStyle name="40% - Accent6 10 28 2" xfId="41283"/>
    <cellStyle name="40% - Accent6 10 29" xfId="19164"/>
    <cellStyle name="40% - Accent6 10 29 2" xfId="41939"/>
    <cellStyle name="40% - Accent6 10 3" xfId="1124"/>
    <cellStyle name="40% - Accent6 10 3 2" xfId="2764"/>
    <cellStyle name="40% - Accent6 10 3 2 2" xfId="25539"/>
    <cellStyle name="40% - Accent6 10 3 3" xfId="23899"/>
    <cellStyle name="40% - Accent6 10 30" xfId="19820"/>
    <cellStyle name="40% - Accent6 10 30 2" xfId="42595"/>
    <cellStyle name="40% - Accent6 10 31" xfId="20476"/>
    <cellStyle name="40% - Accent6 10 31 2" xfId="43251"/>
    <cellStyle name="40% - Accent6 10 32" xfId="21132"/>
    <cellStyle name="40% - Accent6 10 32 2" xfId="43907"/>
    <cellStyle name="40% - Accent6 10 33" xfId="21788"/>
    <cellStyle name="40% - Accent6 10 33 2" xfId="44563"/>
    <cellStyle name="40% - Accent6 10 34" xfId="22444"/>
    <cellStyle name="40% - Accent6 10 34 2" xfId="45219"/>
    <cellStyle name="40% - Accent6 10 35" xfId="23243"/>
    <cellStyle name="40% - Accent6 10 4" xfId="1780"/>
    <cellStyle name="40% - Accent6 10 4 2" xfId="3420"/>
    <cellStyle name="40% - Accent6 10 4 2 2" xfId="26195"/>
    <cellStyle name="40% - Accent6 10 4 3" xfId="24555"/>
    <cellStyle name="40% - Accent6 10 5" xfId="4076"/>
    <cellStyle name="40% - Accent6 10 5 2" xfId="26851"/>
    <cellStyle name="40% - Accent6 10 6" xfId="4732"/>
    <cellStyle name="40% - Accent6 10 6 2" xfId="27507"/>
    <cellStyle name="40% - Accent6 10 7" xfId="5388"/>
    <cellStyle name="40% - Accent6 10 7 2" xfId="28163"/>
    <cellStyle name="40% - Accent6 10 8" xfId="6044"/>
    <cellStyle name="40% - Accent6 10 8 2" xfId="28819"/>
    <cellStyle name="40% - Accent6 10 9" xfId="2436"/>
    <cellStyle name="40% - Accent6 10 9 2" xfId="25211"/>
    <cellStyle name="40% - Accent6 11" xfId="611"/>
    <cellStyle name="40% - Accent6 11 10" xfId="8155"/>
    <cellStyle name="40% - Accent6 11 10 2" xfId="30930"/>
    <cellStyle name="40% - Accent6 11 11" xfId="8811"/>
    <cellStyle name="40% - Accent6 11 11 2" xfId="31586"/>
    <cellStyle name="40% - Accent6 11 12" xfId="9467"/>
    <cellStyle name="40% - Accent6 11 12 2" xfId="32242"/>
    <cellStyle name="40% - Accent6 11 13" xfId="10123"/>
    <cellStyle name="40% - Accent6 11 13 2" xfId="32898"/>
    <cellStyle name="40% - Accent6 11 14" xfId="10779"/>
    <cellStyle name="40% - Accent6 11 14 2" xfId="33554"/>
    <cellStyle name="40% - Accent6 11 15" xfId="11435"/>
    <cellStyle name="40% - Accent6 11 15 2" xfId="34210"/>
    <cellStyle name="40% - Accent6 11 16" xfId="12091"/>
    <cellStyle name="40% - Accent6 11 16 2" xfId="34866"/>
    <cellStyle name="40% - Accent6 11 17" xfId="12747"/>
    <cellStyle name="40% - Accent6 11 17 2" xfId="35522"/>
    <cellStyle name="40% - Accent6 11 18" xfId="13403"/>
    <cellStyle name="40% - Accent6 11 18 2" xfId="36178"/>
    <cellStyle name="40% - Accent6 11 19" xfId="14059"/>
    <cellStyle name="40% - Accent6 11 19 2" xfId="36834"/>
    <cellStyle name="40% - Accent6 11 2" xfId="1267"/>
    <cellStyle name="40% - Accent6 11 2 2" xfId="3563"/>
    <cellStyle name="40% - Accent6 11 2 2 2" xfId="26338"/>
    <cellStyle name="40% - Accent6 11 2 3" xfId="24042"/>
    <cellStyle name="40% - Accent6 11 20" xfId="14715"/>
    <cellStyle name="40% - Accent6 11 20 2" xfId="37490"/>
    <cellStyle name="40% - Accent6 11 21" xfId="15371"/>
    <cellStyle name="40% - Accent6 11 21 2" xfId="38146"/>
    <cellStyle name="40% - Accent6 11 22" xfId="16027"/>
    <cellStyle name="40% - Accent6 11 22 2" xfId="38802"/>
    <cellStyle name="40% - Accent6 11 23" xfId="16683"/>
    <cellStyle name="40% - Accent6 11 23 2" xfId="39458"/>
    <cellStyle name="40% - Accent6 11 24" xfId="17339"/>
    <cellStyle name="40% - Accent6 11 24 2" xfId="40114"/>
    <cellStyle name="40% - Accent6 11 25" xfId="17995"/>
    <cellStyle name="40% - Accent6 11 25 2" xfId="40770"/>
    <cellStyle name="40% - Accent6 11 26" xfId="18651"/>
    <cellStyle name="40% - Accent6 11 26 2" xfId="41426"/>
    <cellStyle name="40% - Accent6 11 27" xfId="19307"/>
    <cellStyle name="40% - Accent6 11 27 2" xfId="42082"/>
    <cellStyle name="40% - Accent6 11 28" xfId="19963"/>
    <cellStyle name="40% - Accent6 11 28 2" xfId="42738"/>
    <cellStyle name="40% - Accent6 11 29" xfId="20619"/>
    <cellStyle name="40% - Accent6 11 29 2" xfId="43394"/>
    <cellStyle name="40% - Accent6 11 3" xfId="1923"/>
    <cellStyle name="40% - Accent6 11 3 2" xfId="4219"/>
    <cellStyle name="40% - Accent6 11 3 2 2" xfId="26994"/>
    <cellStyle name="40% - Accent6 11 3 3" xfId="24698"/>
    <cellStyle name="40% - Accent6 11 30" xfId="21275"/>
    <cellStyle name="40% - Accent6 11 30 2" xfId="44050"/>
    <cellStyle name="40% - Accent6 11 31" xfId="21931"/>
    <cellStyle name="40% - Accent6 11 31 2" xfId="44706"/>
    <cellStyle name="40% - Accent6 11 32" xfId="22587"/>
    <cellStyle name="40% - Accent6 11 32 2" xfId="45362"/>
    <cellStyle name="40% - Accent6 11 33" xfId="23386"/>
    <cellStyle name="40% - Accent6 11 4" xfId="4875"/>
    <cellStyle name="40% - Accent6 11 4 2" xfId="27650"/>
    <cellStyle name="40% - Accent6 11 5" xfId="5531"/>
    <cellStyle name="40% - Accent6 11 5 2" xfId="28306"/>
    <cellStyle name="40% - Accent6 11 6" xfId="6187"/>
    <cellStyle name="40% - Accent6 11 6 2" xfId="28962"/>
    <cellStyle name="40% - Accent6 11 7" xfId="2907"/>
    <cellStyle name="40% - Accent6 11 7 2" xfId="25682"/>
    <cellStyle name="40% - Accent6 11 8" xfId="6843"/>
    <cellStyle name="40% - Accent6 11 8 2" xfId="29618"/>
    <cellStyle name="40% - Accent6 11 9" xfId="7499"/>
    <cellStyle name="40% - Accent6 11 9 2" xfId="30274"/>
    <cellStyle name="40% - Accent6 12" xfId="284"/>
    <cellStyle name="40% - Accent6 12 2" xfId="2579"/>
    <cellStyle name="40% - Accent6 12 2 2" xfId="25354"/>
    <cellStyle name="40% - Accent6 12 3" xfId="23058"/>
    <cellStyle name="40% - Accent6 13" xfId="939"/>
    <cellStyle name="40% - Accent6 13 2" xfId="3235"/>
    <cellStyle name="40% - Accent6 13 2 2" xfId="26010"/>
    <cellStyle name="40% - Accent6 13 3" xfId="23714"/>
    <cellStyle name="40% - Accent6 14" xfId="1595"/>
    <cellStyle name="40% - Accent6 14 2" xfId="3891"/>
    <cellStyle name="40% - Accent6 14 2 2" xfId="26666"/>
    <cellStyle name="40% - Accent6 14 3" xfId="24370"/>
    <cellStyle name="40% - Accent6 15" xfId="4547"/>
    <cellStyle name="40% - Accent6 15 2" xfId="27322"/>
    <cellStyle name="40% - Accent6 16" xfId="5203"/>
    <cellStyle name="40% - Accent6 16 2" xfId="27978"/>
    <cellStyle name="40% - Accent6 17" xfId="5859"/>
    <cellStyle name="40% - Accent6 17 2" xfId="28634"/>
    <cellStyle name="40% - Accent6 18" xfId="2251"/>
    <cellStyle name="40% - Accent6 18 2" xfId="25026"/>
    <cellStyle name="40% - Accent6 19" xfId="6515"/>
    <cellStyle name="40% - Accent6 19 2" xfId="29290"/>
    <cellStyle name="40% - Accent6 2" xfId="79"/>
    <cellStyle name="40% - Accent6 2 10" xfId="5875"/>
    <cellStyle name="40% - Accent6 2 10 2" xfId="28650"/>
    <cellStyle name="40% - Accent6 2 11" xfId="2267"/>
    <cellStyle name="40% - Accent6 2 11 2" xfId="25042"/>
    <cellStyle name="40% - Accent6 2 12" xfId="6531"/>
    <cellStyle name="40% - Accent6 2 12 2" xfId="29306"/>
    <cellStyle name="40% - Accent6 2 13" xfId="7187"/>
    <cellStyle name="40% - Accent6 2 13 2" xfId="29962"/>
    <cellStyle name="40% - Accent6 2 14" xfId="7843"/>
    <cellStyle name="40% - Accent6 2 14 2" xfId="30618"/>
    <cellStyle name="40% - Accent6 2 15" xfId="8499"/>
    <cellStyle name="40% - Accent6 2 15 2" xfId="31274"/>
    <cellStyle name="40% - Accent6 2 16" xfId="9155"/>
    <cellStyle name="40% - Accent6 2 16 2" xfId="31930"/>
    <cellStyle name="40% - Accent6 2 17" xfId="9811"/>
    <cellStyle name="40% - Accent6 2 17 2" xfId="32586"/>
    <cellStyle name="40% - Accent6 2 18" xfId="10467"/>
    <cellStyle name="40% - Accent6 2 18 2" xfId="33242"/>
    <cellStyle name="40% - Accent6 2 19" xfId="11123"/>
    <cellStyle name="40% - Accent6 2 19 2" xfId="33898"/>
    <cellStyle name="40% - Accent6 2 2" xfId="155"/>
    <cellStyle name="40% - Accent6 2 2 10" xfId="2353"/>
    <cellStyle name="40% - Accent6 2 2 10 2" xfId="25128"/>
    <cellStyle name="40% - Accent6 2 2 11" xfId="6617"/>
    <cellStyle name="40% - Accent6 2 2 11 2" xfId="29392"/>
    <cellStyle name="40% - Accent6 2 2 12" xfId="7273"/>
    <cellStyle name="40% - Accent6 2 2 12 2" xfId="30048"/>
    <cellStyle name="40% - Accent6 2 2 13" xfId="7929"/>
    <cellStyle name="40% - Accent6 2 2 13 2" xfId="30704"/>
    <cellStyle name="40% - Accent6 2 2 14" xfId="8585"/>
    <cellStyle name="40% - Accent6 2 2 14 2" xfId="31360"/>
    <cellStyle name="40% - Accent6 2 2 15" xfId="9241"/>
    <cellStyle name="40% - Accent6 2 2 15 2" xfId="32016"/>
    <cellStyle name="40% - Accent6 2 2 16" xfId="9897"/>
    <cellStyle name="40% - Accent6 2 2 16 2" xfId="32672"/>
    <cellStyle name="40% - Accent6 2 2 17" xfId="10553"/>
    <cellStyle name="40% - Accent6 2 2 17 2" xfId="33328"/>
    <cellStyle name="40% - Accent6 2 2 18" xfId="11209"/>
    <cellStyle name="40% - Accent6 2 2 18 2" xfId="33984"/>
    <cellStyle name="40% - Accent6 2 2 19" xfId="11865"/>
    <cellStyle name="40% - Accent6 2 2 19 2" xfId="34640"/>
    <cellStyle name="40% - Accent6 2 2 2" xfId="569"/>
    <cellStyle name="40% - Accent6 2 2 2 10" xfId="6802"/>
    <cellStyle name="40% - Accent6 2 2 2 10 2" xfId="29577"/>
    <cellStyle name="40% - Accent6 2 2 2 11" xfId="7458"/>
    <cellStyle name="40% - Accent6 2 2 2 11 2" xfId="30233"/>
    <cellStyle name="40% - Accent6 2 2 2 12" xfId="8114"/>
    <cellStyle name="40% - Accent6 2 2 2 12 2" xfId="30889"/>
    <cellStyle name="40% - Accent6 2 2 2 13" xfId="8770"/>
    <cellStyle name="40% - Accent6 2 2 2 13 2" xfId="31545"/>
    <cellStyle name="40% - Accent6 2 2 2 14" xfId="9426"/>
    <cellStyle name="40% - Accent6 2 2 2 14 2" xfId="32201"/>
    <cellStyle name="40% - Accent6 2 2 2 15" xfId="10082"/>
    <cellStyle name="40% - Accent6 2 2 2 15 2" xfId="32857"/>
    <cellStyle name="40% - Accent6 2 2 2 16" xfId="10738"/>
    <cellStyle name="40% - Accent6 2 2 2 16 2" xfId="33513"/>
    <cellStyle name="40% - Accent6 2 2 2 17" xfId="11394"/>
    <cellStyle name="40% - Accent6 2 2 2 17 2" xfId="34169"/>
    <cellStyle name="40% - Accent6 2 2 2 18" xfId="12050"/>
    <cellStyle name="40% - Accent6 2 2 2 18 2" xfId="34825"/>
    <cellStyle name="40% - Accent6 2 2 2 19" xfId="12706"/>
    <cellStyle name="40% - Accent6 2 2 2 19 2" xfId="35481"/>
    <cellStyle name="40% - Accent6 2 2 2 2" xfId="898"/>
    <cellStyle name="40% - Accent6 2 2 2 2 10" xfId="8442"/>
    <cellStyle name="40% - Accent6 2 2 2 2 10 2" xfId="31217"/>
    <cellStyle name="40% - Accent6 2 2 2 2 11" xfId="9098"/>
    <cellStyle name="40% - Accent6 2 2 2 2 11 2" xfId="31873"/>
    <cellStyle name="40% - Accent6 2 2 2 2 12" xfId="9754"/>
    <cellStyle name="40% - Accent6 2 2 2 2 12 2" xfId="32529"/>
    <cellStyle name="40% - Accent6 2 2 2 2 13" xfId="10410"/>
    <cellStyle name="40% - Accent6 2 2 2 2 13 2" xfId="33185"/>
    <cellStyle name="40% - Accent6 2 2 2 2 14" xfId="11066"/>
    <cellStyle name="40% - Accent6 2 2 2 2 14 2" xfId="33841"/>
    <cellStyle name="40% - Accent6 2 2 2 2 15" xfId="11722"/>
    <cellStyle name="40% - Accent6 2 2 2 2 15 2" xfId="34497"/>
    <cellStyle name="40% - Accent6 2 2 2 2 16" xfId="12378"/>
    <cellStyle name="40% - Accent6 2 2 2 2 16 2" xfId="35153"/>
    <cellStyle name="40% - Accent6 2 2 2 2 17" xfId="13034"/>
    <cellStyle name="40% - Accent6 2 2 2 2 17 2" xfId="35809"/>
    <cellStyle name="40% - Accent6 2 2 2 2 18" xfId="13690"/>
    <cellStyle name="40% - Accent6 2 2 2 2 18 2" xfId="36465"/>
    <cellStyle name="40% - Accent6 2 2 2 2 19" xfId="14346"/>
    <cellStyle name="40% - Accent6 2 2 2 2 19 2" xfId="37121"/>
    <cellStyle name="40% - Accent6 2 2 2 2 2" xfId="1554"/>
    <cellStyle name="40% - Accent6 2 2 2 2 2 2" xfId="3850"/>
    <cellStyle name="40% - Accent6 2 2 2 2 2 2 2" xfId="26625"/>
    <cellStyle name="40% - Accent6 2 2 2 2 2 3" xfId="24329"/>
    <cellStyle name="40% - Accent6 2 2 2 2 20" xfId="15002"/>
    <cellStyle name="40% - Accent6 2 2 2 2 20 2" xfId="37777"/>
    <cellStyle name="40% - Accent6 2 2 2 2 21" xfId="15658"/>
    <cellStyle name="40% - Accent6 2 2 2 2 21 2" xfId="38433"/>
    <cellStyle name="40% - Accent6 2 2 2 2 22" xfId="16314"/>
    <cellStyle name="40% - Accent6 2 2 2 2 22 2" xfId="39089"/>
    <cellStyle name="40% - Accent6 2 2 2 2 23" xfId="16970"/>
    <cellStyle name="40% - Accent6 2 2 2 2 23 2" xfId="39745"/>
    <cellStyle name="40% - Accent6 2 2 2 2 24" xfId="17626"/>
    <cellStyle name="40% - Accent6 2 2 2 2 24 2" xfId="40401"/>
    <cellStyle name="40% - Accent6 2 2 2 2 25" xfId="18282"/>
    <cellStyle name="40% - Accent6 2 2 2 2 25 2" xfId="41057"/>
    <cellStyle name="40% - Accent6 2 2 2 2 26" xfId="18938"/>
    <cellStyle name="40% - Accent6 2 2 2 2 26 2" xfId="41713"/>
    <cellStyle name="40% - Accent6 2 2 2 2 27" xfId="19594"/>
    <cellStyle name="40% - Accent6 2 2 2 2 27 2" xfId="42369"/>
    <cellStyle name="40% - Accent6 2 2 2 2 28" xfId="20250"/>
    <cellStyle name="40% - Accent6 2 2 2 2 28 2" xfId="43025"/>
    <cellStyle name="40% - Accent6 2 2 2 2 29" xfId="20906"/>
    <cellStyle name="40% - Accent6 2 2 2 2 29 2" xfId="43681"/>
    <cellStyle name="40% - Accent6 2 2 2 2 3" xfId="2210"/>
    <cellStyle name="40% - Accent6 2 2 2 2 3 2" xfId="4506"/>
    <cellStyle name="40% - Accent6 2 2 2 2 3 2 2" xfId="27281"/>
    <cellStyle name="40% - Accent6 2 2 2 2 3 3" xfId="24985"/>
    <cellStyle name="40% - Accent6 2 2 2 2 30" xfId="21562"/>
    <cellStyle name="40% - Accent6 2 2 2 2 30 2" xfId="44337"/>
    <cellStyle name="40% - Accent6 2 2 2 2 31" xfId="22218"/>
    <cellStyle name="40% - Accent6 2 2 2 2 31 2" xfId="44993"/>
    <cellStyle name="40% - Accent6 2 2 2 2 32" xfId="22874"/>
    <cellStyle name="40% - Accent6 2 2 2 2 32 2" xfId="45649"/>
    <cellStyle name="40% - Accent6 2 2 2 2 33" xfId="23673"/>
    <cellStyle name="40% - Accent6 2 2 2 2 4" xfId="5162"/>
    <cellStyle name="40% - Accent6 2 2 2 2 4 2" xfId="27937"/>
    <cellStyle name="40% - Accent6 2 2 2 2 5" xfId="5818"/>
    <cellStyle name="40% - Accent6 2 2 2 2 5 2" xfId="28593"/>
    <cellStyle name="40% - Accent6 2 2 2 2 6" xfId="6474"/>
    <cellStyle name="40% - Accent6 2 2 2 2 6 2" xfId="29249"/>
    <cellStyle name="40% - Accent6 2 2 2 2 7" xfId="3194"/>
    <cellStyle name="40% - Accent6 2 2 2 2 7 2" xfId="25969"/>
    <cellStyle name="40% - Accent6 2 2 2 2 8" xfId="7130"/>
    <cellStyle name="40% - Accent6 2 2 2 2 8 2" xfId="29905"/>
    <cellStyle name="40% - Accent6 2 2 2 2 9" xfId="7786"/>
    <cellStyle name="40% - Accent6 2 2 2 2 9 2" xfId="30561"/>
    <cellStyle name="40% - Accent6 2 2 2 20" xfId="13362"/>
    <cellStyle name="40% - Accent6 2 2 2 20 2" xfId="36137"/>
    <cellStyle name="40% - Accent6 2 2 2 21" xfId="14018"/>
    <cellStyle name="40% - Accent6 2 2 2 21 2" xfId="36793"/>
    <cellStyle name="40% - Accent6 2 2 2 22" xfId="14674"/>
    <cellStyle name="40% - Accent6 2 2 2 22 2" xfId="37449"/>
    <cellStyle name="40% - Accent6 2 2 2 23" xfId="15330"/>
    <cellStyle name="40% - Accent6 2 2 2 23 2" xfId="38105"/>
    <cellStyle name="40% - Accent6 2 2 2 24" xfId="15986"/>
    <cellStyle name="40% - Accent6 2 2 2 24 2" xfId="38761"/>
    <cellStyle name="40% - Accent6 2 2 2 25" xfId="16642"/>
    <cellStyle name="40% - Accent6 2 2 2 25 2" xfId="39417"/>
    <cellStyle name="40% - Accent6 2 2 2 26" xfId="17298"/>
    <cellStyle name="40% - Accent6 2 2 2 26 2" xfId="40073"/>
    <cellStyle name="40% - Accent6 2 2 2 27" xfId="17954"/>
    <cellStyle name="40% - Accent6 2 2 2 27 2" xfId="40729"/>
    <cellStyle name="40% - Accent6 2 2 2 28" xfId="18610"/>
    <cellStyle name="40% - Accent6 2 2 2 28 2" xfId="41385"/>
    <cellStyle name="40% - Accent6 2 2 2 29" xfId="19266"/>
    <cellStyle name="40% - Accent6 2 2 2 29 2" xfId="42041"/>
    <cellStyle name="40% - Accent6 2 2 2 3" xfId="1226"/>
    <cellStyle name="40% - Accent6 2 2 2 3 2" xfId="2866"/>
    <cellStyle name="40% - Accent6 2 2 2 3 2 2" xfId="25641"/>
    <cellStyle name="40% - Accent6 2 2 2 3 3" xfId="24001"/>
    <cellStyle name="40% - Accent6 2 2 2 30" xfId="19922"/>
    <cellStyle name="40% - Accent6 2 2 2 30 2" xfId="42697"/>
    <cellStyle name="40% - Accent6 2 2 2 31" xfId="20578"/>
    <cellStyle name="40% - Accent6 2 2 2 31 2" xfId="43353"/>
    <cellStyle name="40% - Accent6 2 2 2 32" xfId="21234"/>
    <cellStyle name="40% - Accent6 2 2 2 32 2" xfId="44009"/>
    <cellStyle name="40% - Accent6 2 2 2 33" xfId="21890"/>
    <cellStyle name="40% - Accent6 2 2 2 33 2" xfId="44665"/>
    <cellStyle name="40% - Accent6 2 2 2 34" xfId="22546"/>
    <cellStyle name="40% - Accent6 2 2 2 34 2" xfId="45321"/>
    <cellStyle name="40% - Accent6 2 2 2 35" xfId="23345"/>
    <cellStyle name="40% - Accent6 2 2 2 4" xfId="1882"/>
    <cellStyle name="40% - Accent6 2 2 2 4 2" xfId="3522"/>
    <cellStyle name="40% - Accent6 2 2 2 4 2 2" xfId="26297"/>
    <cellStyle name="40% - Accent6 2 2 2 4 3" xfId="24657"/>
    <cellStyle name="40% - Accent6 2 2 2 5" xfId="4178"/>
    <cellStyle name="40% - Accent6 2 2 2 5 2" xfId="26953"/>
    <cellStyle name="40% - Accent6 2 2 2 6" xfId="4834"/>
    <cellStyle name="40% - Accent6 2 2 2 6 2" xfId="27609"/>
    <cellStyle name="40% - Accent6 2 2 2 7" xfId="5490"/>
    <cellStyle name="40% - Accent6 2 2 2 7 2" xfId="28265"/>
    <cellStyle name="40% - Accent6 2 2 2 8" xfId="6146"/>
    <cellStyle name="40% - Accent6 2 2 2 8 2" xfId="28921"/>
    <cellStyle name="40% - Accent6 2 2 2 9" xfId="2538"/>
    <cellStyle name="40% - Accent6 2 2 2 9 2" xfId="25313"/>
    <cellStyle name="40% - Accent6 2 2 20" xfId="12521"/>
    <cellStyle name="40% - Accent6 2 2 20 2" xfId="35296"/>
    <cellStyle name="40% - Accent6 2 2 21" xfId="13177"/>
    <cellStyle name="40% - Accent6 2 2 21 2" xfId="35952"/>
    <cellStyle name="40% - Accent6 2 2 22" xfId="13833"/>
    <cellStyle name="40% - Accent6 2 2 22 2" xfId="36608"/>
    <cellStyle name="40% - Accent6 2 2 23" xfId="14489"/>
    <cellStyle name="40% - Accent6 2 2 23 2" xfId="37264"/>
    <cellStyle name="40% - Accent6 2 2 24" xfId="15145"/>
    <cellStyle name="40% - Accent6 2 2 24 2" xfId="37920"/>
    <cellStyle name="40% - Accent6 2 2 25" xfId="15801"/>
    <cellStyle name="40% - Accent6 2 2 25 2" xfId="38576"/>
    <cellStyle name="40% - Accent6 2 2 26" xfId="16457"/>
    <cellStyle name="40% - Accent6 2 2 26 2" xfId="39232"/>
    <cellStyle name="40% - Accent6 2 2 27" xfId="17113"/>
    <cellStyle name="40% - Accent6 2 2 27 2" xfId="39888"/>
    <cellStyle name="40% - Accent6 2 2 28" xfId="17769"/>
    <cellStyle name="40% - Accent6 2 2 28 2" xfId="40544"/>
    <cellStyle name="40% - Accent6 2 2 29" xfId="18425"/>
    <cellStyle name="40% - Accent6 2 2 29 2" xfId="41200"/>
    <cellStyle name="40% - Accent6 2 2 3" xfId="713"/>
    <cellStyle name="40% - Accent6 2 2 3 10" xfId="8257"/>
    <cellStyle name="40% - Accent6 2 2 3 10 2" xfId="31032"/>
    <cellStyle name="40% - Accent6 2 2 3 11" xfId="8913"/>
    <cellStyle name="40% - Accent6 2 2 3 11 2" xfId="31688"/>
    <cellStyle name="40% - Accent6 2 2 3 12" xfId="9569"/>
    <cellStyle name="40% - Accent6 2 2 3 12 2" xfId="32344"/>
    <cellStyle name="40% - Accent6 2 2 3 13" xfId="10225"/>
    <cellStyle name="40% - Accent6 2 2 3 13 2" xfId="33000"/>
    <cellStyle name="40% - Accent6 2 2 3 14" xfId="10881"/>
    <cellStyle name="40% - Accent6 2 2 3 14 2" xfId="33656"/>
    <cellStyle name="40% - Accent6 2 2 3 15" xfId="11537"/>
    <cellStyle name="40% - Accent6 2 2 3 15 2" xfId="34312"/>
    <cellStyle name="40% - Accent6 2 2 3 16" xfId="12193"/>
    <cellStyle name="40% - Accent6 2 2 3 16 2" xfId="34968"/>
    <cellStyle name="40% - Accent6 2 2 3 17" xfId="12849"/>
    <cellStyle name="40% - Accent6 2 2 3 17 2" xfId="35624"/>
    <cellStyle name="40% - Accent6 2 2 3 18" xfId="13505"/>
    <cellStyle name="40% - Accent6 2 2 3 18 2" xfId="36280"/>
    <cellStyle name="40% - Accent6 2 2 3 19" xfId="14161"/>
    <cellStyle name="40% - Accent6 2 2 3 19 2" xfId="36936"/>
    <cellStyle name="40% - Accent6 2 2 3 2" xfId="1369"/>
    <cellStyle name="40% - Accent6 2 2 3 2 2" xfId="3665"/>
    <cellStyle name="40% - Accent6 2 2 3 2 2 2" xfId="26440"/>
    <cellStyle name="40% - Accent6 2 2 3 2 3" xfId="24144"/>
    <cellStyle name="40% - Accent6 2 2 3 20" xfId="14817"/>
    <cellStyle name="40% - Accent6 2 2 3 20 2" xfId="37592"/>
    <cellStyle name="40% - Accent6 2 2 3 21" xfId="15473"/>
    <cellStyle name="40% - Accent6 2 2 3 21 2" xfId="38248"/>
    <cellStyle name="40% - Accent6 2 2 3 22" xfId="16129"/>
    <cellStyle name="40% - Accent6 2 2 3 22 2" xfId="38904"/>
    <cellStyle name="40% - Accent6 2 2 3 23" xfId="16785"/>
    <cellStyle name="40% - Accent6 2 2 3 23 2" xfId="39560"/>
    <cellStyle name="40% - Accent6 2 2 3 24" xfId="17441"/>
    <cellStyle name="40% - Accent6 2 2 3 24 2" xfId="40216"/>
    <cellStyle name="40% - Accent6 2 2 3 25" xfId="18097"/>
    <cellStyle name="40% - Accent6 2 2 3 25 2" xfId="40872"/>
    <cellStyle name="40% - Accent6 2 2 3 26" xfId="18753"/>
    <cellStyle name="40% - Accent6 2 2 3 26 2" xfId="41528"/>
    <cellStyle name="40% - Accent6 2 2 3 27" xfId="19409"/>
    <cellStyle name="40% - Accent6 2 2 3 27 2" xfId="42184"/>
    <cellStyle name="40% - Accent6 2 2 3 28" xfId="20065"/>
    <cellStyle name="40% - Accent6 2 2 3 28 2" xfId="42840"/>
    <cellStyle name="40% - Accent6 2 2 3 29" xfId="20721"/>
    <cellStyle name="40% - Accent6 2 2 3 29 2" xfId="43496"/>
    <cellStyle name="40% - Accent6 2 2 3 3" xfId="2025"/>
    <cellStyle name="40% - Accent6 2 2 3 3 2" xfId="4321"/>
    <cellStyle name="40% - Accent6 2 2 3 3 2 2" xfId="27096"/>
    <cellStyle name="40% - Accent6 2 2 3 3 3" xfId="24800"/>
    <cellStyle name="40% - Accent6 2 2 3 30" xfId="21377"/>
    <cellStyle name="40% - Accent6 2 2 3 30 2" xfId="44152"/>
    <cellStyle name="40% - Accent6 2 2 3 31" xfId="22033"/>
    <cellStyle name="40% - Accent6 2 2 3 31 2" xfId="44808"/>
    <cellStyle name="40% - Accent6 2 2 3 32" xfId="22689"/>
    <cellStyle name="40% - Accent6 2 2 3 32 2" xfId="45464"/>
    <cellStyle name="40% - Accent6 2 2 3 33" xfId="23488"/>
    <cellStyle name="40% - Accent6 2 2 3 4" xfId="4977"/>
    <cellStyle name="40% - Accent6 2 2 3 4 2" xfId="27752"/>
    <cellStyle name="40% - Accent6 2 2 3 5" xfId="5633"/>
    <cellStyle name="40% - Accent6 2 2 3 5 2" xfId="28408"/>
    <cellStyle name="40% - Accent6 2 2 3 6" xfId="6289"/>
    <cellStyle name="40% - Accent6 2 2 3 6 2" xfId="29064"/>
    <cellStyle name="40% - Accent6 2 2 3 7" xfId="3009"/>
    <cellStyle name="40% - Accent6 2 2 3 7 2" xfId="25784"/>
    <cellStyle name="40% - Accent6 2 2 3 8" xfId="6945"/>
    <cellStyle name="40% - Accent6 2 2 3 8 2" xfId="29720"/>
    <cellStyle name="40% - Accent6 2 2 3 9" xfId="7601"/>
    <cellStyle name="40% - Accent6 2 2 3 9 2" xfId="30376"/>
    <cellStyle name="40% - Accent6 2 2 30" xfId="19081"/>
    <cellStyle name="40% - Accent6 2 2 30 2" xfId="41856"/>
    <cellStyle name="40% - Accent6 2 2 31" xfId="19737"/>
    <cellStyle name="40% - Accent6 2 2 31 2" xfId="42512"/>
    <cellStyle name="40% - Accent6 2 2 32" xfId="20393"/>
    <cellStyle name="40% - Accent6 2 2 32 2" xfId="43168"/>
    <cellStyle name="40% - Accent6 2 2 33" xfId="21049"/>
    <cellStyle name="40% - Accent6 2 2 33 2" xfId="43824"/>
    <cellStyle name="40% - Accent6 2 2 34" xfId="21705"/>
    <cellStyle name="40% - Accent6 2 2 34 2" xfId="44480"/>
    <cellStyle name="40% - Accent6 2 2 35" xfId="22361"/>
    <cellStyle name="40% - Accent6 2 2 35 2" xfId="45136"/>
    <cellStyle name="40% - Accent6 2 2 36" xfId="23017"/>
    <cellStyle name="40% - Accent6 2 2 4" xfId="386"/>
    <cellStyle name="40% - Accent6 2 2 4 2" xfId="2681"/>
    <cellStyle name="40% - Accent6 2 2 4 2 2" xfId="25456"/>
    <cellStyle name="40% - Accent6 2 2 4 3" xfId="23160"/>
    <cellStyle name="40% - Accent6 2 2 5" xfId="1041"/>
    <cellStyle name="40% - Accent6 2 2 5 2" xfId="3337"/>
    <cellStyle name="40% - Accent6 2 2 5 2 2" xfId="26112"/>
    <cellStyle name="40% - Accent6 2 2 5 3" xfId="23816"/>
    <cellStyle name="40% - Accent6 2 2 6" xfId="1697"/>
    <cellStyle name="40% - Accent6 2 2 6 2" xfId="3993"/>
    <cellStyle name="40% - Accent6 2 2 6 2 2" xfId="26768"/>
    <cellStyle name="40% - Accent6 2 2 6 3" xfId="24472"/>
    <cellStyle name="40% - Accent6 2 2 7" xfId="4649"/>
    <cellStyle name="40% - Accent6 2 2 7 2" xfId="27424"/>
    <cellStyle name="40% - Accent6 2 2 8" xfId="5305"/>
    <cellStyle name="40% - Accent6 2 2 8 2" xfId="28080"/>
    <cellStyle name="40% - Accent6 2 2 9" xfId="5961"/>
    <cellStyle name="40% - Accent6 2 2 9 2" xfId="28736"/>
    <cellStyle name="40% - Accent6 2 20" xfId="11779"/>
    <cellStyle name="40% - Accent6 2 20 2" xfId="34554"/>
    <cellStyle name="40% - Accent6 2 21" xfId="12435"/>
    <cellStyle name="40% - Accent6 2 21 2" xfId="35210"/>
    <cellStyle name="40% - Accent6 2 22" xfId="13091"/>
    <cellStyle name="40% - Accent6 2 22 2" xfId="35866"/>
    <cellStyle name="40% - Accent6 2 23" xfId="13747"/>
    <cellStyle name="40% - Accent6 2 23 2" xfId="36522"/>
    <cellStyle name="40% - Accent6 2 24" xfId="14403"/>
    <cellStyle name="40% - Accent6 2 24 2" xfId="37178"/>
    <cellStyle name="40% - Accent6 2 25" xfId="15059"/>
    <cellStyle name="40% - Accent6 2 25 2" xfId="37834"/>
    <cellStyle name="40% - Accent6 2 26" xfId="15715"/>
    <cellStyle name="40% - Accent6 2 26 2" xfId="38490"/>
    <cellStyle name="40% - Accent6 2 27" xfId="16371"/>
    <cellStyle name="40% - Accent6 2 27 2" xfId="39146"/>
    <cellStyle name="40% - Accent6 2 28" xfId="17027"/>
    <cellStyle name="40% - Accent6 2 28 2" xfId="39802"/>
    <cellStyle name="40% - Accent6 2 29" xfId="17683"/>
    <cellStyle name="40% - Accent6 2 29 2" xfId="40458"/>
    <cellStyle name="40% - Accent6 2 3" xfId="485"/>
    <cellStyle name="40% - Accent6 2 3 10" xfId="6716"/>
    <cellStyle name="40% - Accent6 2 3 10 2" xfId="29491"/>
    <cellStyle name="40% - Accent6 2 3 11" xfId="7372"/>
    <cellStyle name="40% - Accent6 2 3 11 2" xfId="30147"/>
    <cellStyle name="40% - Accent6 2 3 12" xfId="8028"/>
    <cellStyle name="40% - Accent6 2 3 12 2" xfId="30803"/>
    <cellStyle name="40% - Accent6 2 3 13" xfId="8684"/>
    <cellStyle name="40% - Accent6 2 3 13 2" xfId="31459"/>
    <cellStyle name="40% - Accent6 2 3 14" xfId="9340"/>
    <cellStyle name="40% - Accent6 2 3 14 2" xfId="32115"/>
    <cellStyle name="40% - Accent6 2 3 15" xfId="9996"/>
    <cellStyle name="40% - Accent6 2 3 15 2" xfId="32771"/>
    <cellStyle name="40% - Accent6 2 3 16" xfId="10652"/>
    <cellStyle name="40% - Accent6 2 3 16 2" xfId="33427"/>
    <cellStyle name="40% - Accent6 2 3 17" xfId="11308"/>
    <cellStyle name="40% - Accent6 2 3 17 2" xfId="34083"/>
    <cellStyle name="40% - Accent6 2 3 18" xfId="11964"/>
    <cellStyle name="40% - Accent6 2 3 18 2" xfId="34739"/>
    <cellStyle name="40% - Accent6 2 3 19" xfId="12620"/>
    <cellStyle name="40% - Accent6 2 3 19 2" xfId="35395"/>
    <cellStyle name="40% - Accent6 2 3 2" xfId="812"/>
    <cellStyle name="40% - Accent6 2 3 2 10" xfId="8356"/>
    <cellStyle name="40% - Accent6 2 3 2 10 2" xfId="31131"/>
    <cellStyle name="40% - Accent6 2 3 2 11" xfId="9012"/>
    <cellStyle name="40% - Accent6 2 3 2 11 2" xfId="31787"/>
    <cellStyle name="40% - Accent6 2 3 2 12" xfId="9668"/>
    <cellStyle name="40% - Accent6 2 3 2 12 2" xfId="32443"/>
    <cellStyle name="40% - Accent6 2 3 2 13" xfId="10324"/>
    <cellStyle name="40% - Accent6 2 3 2 13 2" xfId="33099"/>
    <cellStyle name="40% - Accent6 2 3 2 14" xfId="10980"/>
    <cellStyle name="40% - Accent6 2 3 2 14 2" xfId="33755"/>
    <cellStyle name="40% - Accent6 2 3 2 15" xfId="11636"/>
    <cellStyle name="40% - Accent6 2 3 2 15 2" xfId="34411"/>
    <cellStyle name="40% - Accent6 2 3 2 16" xfId="12292"/>
    <cellStyle name="40% - Accent6 2 3 2 16 2" xfId="35067"/>
    <cellStyle name="40% - Accent6 2 3 2 17" xfId="12948"/>
    <cellStyle name="40% - Accent6 2 3 2 17 2" xfId="35723"/>
    <cellStyle name="40% - Accent6 2 3 2 18" xfId="13604"/>
    <cellStyle name="40% - Accent6 2 3 2 18 2" xfId="36379"/>
    <cellStyle name="40% - Accent6 2 3 2 19" xfId="14260"/>
    <cellStyle name="40% - Accent6 2 3 2 19 2" xfId="37035"/>
    <cellStyle name="40% - Accent6 2 3 2 2" xfId="1468"/>
    <cellStyle name="40% - Accent6 2 3 2 2 2" xfId="3764"/>
    <cellStyle name="40% - Accent6 2 3 2 2 2 2" xfId="26539"/>
    <cellStyle name="40% - Accent6 2 3 2 2 3" xfId="24243"/>
    <cellStyle name="40% - Accent6 2 3 2 20" xfId="14916"/>
    <cellStyle name="40% - Accent6 2 3 2 20 2" xfId="37691"/>
    <cellStyle name="40% - Accent6 2 3 2 21" xfId="15572"/>
    <cellStyle name="40% - Accent6 2 3 2 21 2" xfId="38347"/>
    <cellStyle name="40% - Accent6 2 3 2 22" xfId="16228"/>
    <cellStyle name="40% - Accent6 2 3 2 22 2" xfId="39003"/>
    <cellStyle name="40% - Accent6 2 3 2 23" xfId="16884"/>
    <cellStyle name="40% - Accent6 2 3 2 23 2" xfId="39659"/>
    <cellStyle name="40% - Accent6 2 3 2 24" xfId="17540"/>
    <cellStyle name="40% - Accent6 2 3 2 24 2" xfId="40315"/>
    <cellStyle name="40% - Accent6 2 3 2 25" xfId="18196"/>
    <cellStyle name="40% - Accent6 2 3 2 25 2" xfId="40971"/>
    <cellStyle name="40% - Accent6 2 3 2 26" xfId="18852"/>
    <cellStyle name="40% - Accent6 2 3 2 26 2" xfId="41627"/>
    <cellStyle name="40% - Accent6 2 3 2 27" xfId="19508"/>
    <cellStyle name="40% - Accent6 2 3 2 27 2" xfId="42283"/>
    <cellStyle name="40% - Accent6 2 3 2 28" xfId="20164"/>
    <cellStyle name="40% - Accent6 2 3 2 28 2" xfId="42939"/>
    <cellStyle name="40% - Accent6 2 3 2 29" xfId="20820"/>
    <cellStyle name="40% - Accent6 2 3 2 29 2" xfId="43595"/>
    <cellStyle name="40% - Accent6 2 3 2 3" xfId="2124"/>
    <cellStyle name="40% - Accent6 2 3 2 3 2" xfId="4420"/>
    <cellStyle name="40% - Accent6 2 3 2 3 2 2" xfId="27195"/>
    <cellStyle name="40% - Accent6 2 3 2 3 3" xfId="24899"/>
    <cellStyle name="40% - Accent6 2 3 2 30" xfId="21476"/>
    <cellStyle name="40% - Accent6 2 3 2 30 2" xfId="44251"/>
    <cellStyle name="40% - Accent6 2 3 2 31" xfId="22132"/>
    <cellStyle name="40% - Accent6 2 3 2 31 2" xfId="44907"/>
    <cellStyle name="40% - Accent6 2 3 2 32" xfId="22788"/>
    <cellStyle name="40% - Accent6 2 3 2 32 2" xfId="45563"/>
    <cellStyle name="40% - Accent6 2 3 2 33" xfId="23587"/>
    <cellStyle name="40% - Accent6 2 3 2 4" xfId="5076"/>
    <cellStyle name="40% - Accent6 2 3 2 4 2" xfId="27851"/>
    <cellStyle name="40% - Accent6 2 3 2 5" xfId="5732"/>
    <cellStyle name="40% - Accent6 2 3 2 5 2" xfId="28507"/>
    <cellStyle name="40% - Accent6 2 3 2 6" xfId="6388"/>
    <cellStyle name="40% - Accent6 2 3 2 6 2" xfId="29163"/>
    <cellStyle name="40% - Accent6 2 3 2 7" xfId="3108"/>
    <cellStyle name="40% - Accent6 2 3 2 7 2" xfId="25883"/>
    <cellStyle name="40% - Accent6 2 3 2 8" xfId="7044"/>
    <cellStyle name="40% - Accent6 2 3 2 8 2" xfId="29819"/>
    <cellStyle name="40% - Accent6 2 3 2 9" xfId="7700"/>
    <cellStyle name="40% - Accent6 2 3 2 9 2" xfId="30475"/>
    <cellStyle name="40% - Accent6 2 3 20" xfId="13276"/>
    <cellStyle name="40% - Accent6 2 3 20 2" xfId="36051"/>
    <cellStyle name="40% - Accent6 2 3 21" xfId="13932"/>
    <cellStyle name="40% - Accent6 2 3 21 2" xfId="36707"/>
    <cellStyle name="40% - Accent6 2 3 22" xfId="14588"/>
    <cellStyle name="40% - Accent6 2 3 22 2" xfId="37363"/>
    <cellStyle name="40% - Accent6 2 3 23" xfId="15244"/>
    <cellStyle name="40% - Accent6 2 3 23 2" xfId="38019"/>
    <cellStyle name="40% - Accent6 2 3 24" xfId="15900"/>
    <cellStyle name="40% - Accent6 2 3 24 2" xfId="38675"/>
    <cellStyle name="40% - Accent6 2 3 25" xfId="16556"/>
    <cellStyle name="40% - Accent6 2 3 25 2" xfId="39331"/>
    <cellStyle name="40% - Accent6 2 3 26" xfId="17212"/>
    <cellStyle name="40% - Accent6 2 3 26 2" xfId="39987"/>
    <cellStyle name="40% - Accent6 2 3 27" xfId="17868"/>
    <cellStyle name="40% - Accent6 2 3 27 2" xfId="40643"/>
    <cellStyle name="40% - Accent6 2 3 28" xfId="18524"/>
    <cellStyle name="40% - Accent6 2 3 28 2" xfId="41299"/>
    <cellStyle name="40% - Accent6 2 3 29" xfId="19180"/>
    <cellStyle name="40% - Accent6 2 3 29 2" xfId="41955"/>
    <cellStyle name="40% - Accent6 2 3 3" xfId="1140"/>
    <cellStyle name="40% - Accent6 2 3 3 2" xfId="2780"/>
    <cellStyle name="40% - Accent6 2 3 3 2 2" xfId="25555"/>
    <cellStyle name="40% - Accent6 2 3 3 3" xfId="23915"/>
    <cellStyle name="40% - Accent6 2 3 30" xfId="19836"/>
    <cellStyle name="40% - Accent6 2 3 30 2" xfId="42611"/>
    <cellStyle name="40% - Accent6 2 3 31" xfId="20492"/>
    <cellStyle name="40% - Accent6 2 3 31 2" xfId="43267"/>
    <cellStyle name="40% - Accent6 2 3 32" xfId="21148"/>
    <cellStyle name="40% - Accent6 2 3 32 2" xfId="43923"/>
    <cellStyle name="40% - Accent6 2 3 33" xfId="21804"/>
    <cellStyle name="40% - Accent6 2 3 33 2" xfId="44579"/>
    <cellStyle name="40% - Accent6 2 3 34" xfId="22460"/>
    <cellStyle name="40% - Accent6 2 3 34 2" xfId="45235"/>
    <cellStyle name="40% - Accent6 2 3 35" xfId="23259"/>
    <cellStyle name="40% - Accent6 2 3 4" xfId="1796"/>
    <cellStyle name="40% - Accent6 2 3 4 2" xfId="3436"/>
    <cellStyle name="40% - Accent6 2 3 4 2 2" xfId="26211"/>
    <cellStyle name="40% - Accent6 2 3 4 3" xfId="24571"/>
    <cellStyle name="40% - Accent6 2 3 5" xfId="4092"/>
    <cellStyle name="40% - Accent6 2 3 5 2" xfId="26867"/>
    <cellStyle name="40% - Accent6 2 3 6" xfId="4748"/>
    <cellStyle name="40% - Accent6 2 3 6 2" xfId="27523"/>
    <cellStyle name="40% - Accent6 2 3 7" xfId="5404"/>
    <cellStyle name="40% - Accent6 2 3 7 2" xfId="28179"/>
    <cellStyle name="40% - Accent6 2 3 8" xfId="6060"/>
    <cellStyle name="40% - Accent6 2 3 8 2" xfId="28835"/>
    <cellStyle name="40% - Accent6 2 3 9" xfId="2452"/>
    <cellStyle name="40% - Accent6 2 3 9 2" xfId="25227"/>
    <cellStyle name="40% - Accent6 2 30" xfId="18339"/>
    <cellStyle name="40% - Accent6 2 30 2" xfId="41114"/>
    <cellStyle name="40% - Accent6 2 31" xfId="18995"/>
    <cellStyle name="40% - Accent6 2 31 2" xfId="41770"/>
    <cellStyle name="40% - Accent6 2 32" xfId="19651"/>
    <cellStyle name="40% - Accent6 2 32 2" xfId="42426"/>
    <cellStyle name="40% - Accent6 2 33" xfId="20307"/>
    <cellStyle name="40% - Accent6 2 33 2" xfId="43082"/>
    <cellStyle name="40% - Accent6 2 34" xfId="20963"/>
    <cellStyle name="40% - Accent6 2 34 2" xfId="43738"/>
    <cellStyle name="40% - Accent6 2 35" xfId="21619"/>
    <cellStyle name="40% - Accent6 2 35 2" xfId="44394"/>
    <cellStyle name="40% - Accent6 2 36" xfId="22275"/>
    <cellStyle name="40% - Accent6 2 36 2" xfId="45050"/>
    <cellStyle name="40% - Accent6 2 37" xfId="214"/>
    <cellStyle name="40% - Accent6 2 38" xfId="22931"/>
    <cellStyle name="40% - Accent6 2 4" xfId="627"/>
    <cellStyle name="40% - Accent6 2 4 10" xfId="8171"/>
    <cellStyle name="40% - Accent6 2 4 10 2" xfId="30946"/>
    <cellStyle name="40% - Accent6 2 4 11" xfId="8827"/>
    <cellStyle name="40% - Accent6 2 4 11 2" xfId="31602"/>
    <cellStyle name="40% - Accent6 2 4 12" xfId="9483"/>
    <cellStyle name="40% - Accent6 2 4 12 2" xfId="32258"/>
    <cellStyle name="40% - Accent6 2 4 13" xfId="10139"/>
    <cellStyle name="40% - Accent6 2 4 13 2" xfId="32914"/>
    <cellStyle name="40% - Accent6 2 4 14" xfId="10795"/>
    <cellStyle name="40% - Accent6 2 4 14 2" xfId="33570"/>
    <cellStyle name="40% - Accent6 2 4 15" xfId="11451"/>
    <cellStyle name="40% - Accent6 2 4 15 2" xfId="34226"/>
    <cellStyle name="40% - Accent6 2 4 16" xfId="12107"/>
    <cellStyle name="40% - Accent6 2 4 16 2" xfId="34882"/>
    <cellStyle name="40% - Accent6 2 4 17" xfId="12763"/>
    <cellStyle name="40% - Accent6 2 4 17 2" xfId="35538"/>
    <cellStyle name="40% - Accent6 2 4 18" xfId="13419"/>
    <cellStyle name="40% - Accent6 2 4 18 2" xfId="36194"/>
    <cellStyle name="40% - Accent6 2 4 19" xfId="14075"/>
    <cellStyle name="40% - Accent6 2 4 19 2" xfId="36850"/>
    <cellStyle name="40% - Accent6 2 4 2" xfId="1283"/>
    <cellStyle name="40% - Accent6 2 4 2 2" xfId="3579"/>
    <cellStyle name="40% - Accent6 2 4 2 2 2" xfId="26354"/>
    <cellStyle name="40% - Accent6 2 4 2 3" xfId="24058"/>
    <cellStyle name="40% - Accent6 2 4 20" xfId="14731"/>
    <cellStyle name="40% - Accent6 2 4 20 2" xfId="37506"/>
    <cellStyle name="40% - Accent6 2 4 21" xfId="15387"/>
    <cellStyle name="40% - Accent6 2 4 21 2" xfId="38162"/>
    <cellStyle name="40% - Accent6 2 4 22" xfId="16043"/>
    <cellStyle name="40% - Accent6 2 4 22 2" xfId="38818"/>
    <cellStyle name="40% - Accent6 2 4 23" xfId="16699"/>
    <cellStyle name="40% - Accent6 2 4 23 2" xfId="39474"/>
    <cellStyle name="40% - Accent6 2 4 24" xfId="17355"/>
    <cellStyle name="40% - Accent6 2 4 24 2" xfId="40130"/>
    <cellStyle name="40% - Accent6 2 4 25" xfId="18011"/>
    <cellStyle name="40% - Accent6 2 4 25 2" xfId="40786"/>
    <cellStyle name="40% - Accent6 2 4 26" xfId="18667"/>
    <cellStyle name="40% - Accent6 2 4 26 2" xfId="41442"/>
    <cellStyle name="40% - Accent6 2 4 27" xfId="19323"/>
    <cellStyle name="40% - Accent6 2 4 27 2" xfId="42098"/>
    <cellStyle name="40% - Accent6 2 4 28" xfId="19979"/>
    <cellStyle name="40% - Accent6 2 4 28 2" xfId="42754"/>
    <cellStyle name="40% - Accent6 2 4 29" xfId="20635"/>
    <cellStyle name="40% - Accent6 2 4 29 2" xfId="43410"/>
    <cellStyle name="40% - Accent6 2 4 3" xfId="1939"/>
    <cellStyle name="40% - Accent6 2 4 3 2" xfId="4235"/>
    <cellStyle name="40% - Accent6 2 4 3 2 2" xfId="27010"/>
    <cellStyle name="40% - Accent6 2 4 3 3" xfId="24714"/>
    <cellStyle name="40% - Accent6 2 4 30" xfId="21291"/>
    <cellStyle name="40% - Accent6 2 4 30 2" xfId="44066"/>
    <cellStyle name="40% - Accent6 2 4 31" xfId="21947"/>
    <cellStyle name="40% - Accent6 2 4 31 2" xfId="44722"/>
    <cellStyle name="40% - Accent6 2 4 32" xfId="22603"/>
    <cellStyle name="40% - Accent6 2 4 32 2" xfId="45378"/>
    <cellStyle name="40% - Accent6 2 4 33" xfId="23402"/>
    <cellStyle name="40% - Accent6 2 4 4" xfId="4891"/>
    <cellStyle name="40% - Accent6 2 4 4 2" xfId="27666"/>
    <cellStyle name="40% - Accent6 2 4 5" xfId="5547"/>
    <cellStyle name="40% - Accent6 2 4 5 2" xfId="28322"/>
    <cellStyle name="40% - Accent6 2 4 6" xfId="6203"/>
    <cellStyle name="40% - Accent6 2 4 6 2" xfId="28978"/>
    <cellStyle name="40% - Accent6 2 4 7" xfId="2923"/>
    <cellStyle name="40% - Accent6 2 4 7 2" xfId="25698"/>
    <cellStyle name="40% - Accent6 2 4 8" xfId="6859"/>
    <cellStyle name="40% - Accent6 2 4 8 2" xfId="29634"/>
    <cellStyle name="40% - Accent6 2 4 9" xfId="7515"/>
    <cellStyle name="40% - Accent6 2 4 9 2" xfId="30290"/>
    <cellStyle name="40% - Accent6 2 5" xfId="300"/>
    <cellStyle name="40% - Accent6 2 5 2" xfId="2595"/>
    <cellStyle name="40% - Accent6 2 5 2 2" xfId="25370"/>
    <cellStyle name="40% - Accent6 2 5 3" xfId="23074"/>
    <cellStyle name="40% - Accent6 2 6" xfId="955"/>
    <cellStyle name="40% - Accent6 2 6 2" xfId="3251"/>
    <cellStyle name="40% - Accent6 2 6 2 2" xfId="26026"/>
    <cellStyle name="40% - Accent6 2 6 3" xfId="23730"/>
    <cellStyle name="40% - Accent6 2 7" xfId="1611"/>
    <cellStyle name="40% - Accent6 2 7 2" xfId="3907"/>
    <cellStyle name="40% - Accent6 2 7 2 2" xfId="26682"/>
    <cellStyle name="40% - Accent6 2 7 3" xfId="24386"/>
    <cellStyle name="40% - Accent6 2 8" xfId="4563"/>
    <cellStyle name="40% - Accent6 2 8 2" xfId="27338"/>
    <cellStyle name="40% - Accent6 2 9" xfId="5219"/>
    <cellStyle name="40% - Accent6 2 9 2" xfId="27994"/>
    <cellStyle name="40% - Accent6 20" xfId="7171"/>
    <cellStyle name="40% - Accent6 20 2" xfId="29946"/>
    <cellStyle name="40% - Accent6 21" xfId="7827"/>
    <cellStyle name="40% - Accent6 21 2" xfId="30602"/>
    <cellStyle name="40% - Accent6 22" xfId="8483"/>
    <cellStyle name="40% - Accent6 22 2" xfId="31258"/>
    <cellStyle name="40% - Accent6 23" xfId="9139"/>
    <cellStyle name="40% - Accent6 23 2" xfId="31914"/>
    <cellStyle name="40% - Accent6 24" xfId="9795"/>
    <cellStyle name="40% - Accent6 24 2" xfId="32570"/>
    <cellStyle name="40% - Accent6 25" xfId="10451"/>
    <cellStyle name="40% - Accent6 25 2" xfId="33226"/>
    <cellStyle name="40% - Accent6 26" xfId="11107"/>
    <cellStyle name="40% - Accent6 26 2" xfId="33882"/>
    <cellStyle name="40% - Accent6 27" xfId="11763"/>
    <cellStyle name="40% - Accent6 27 2" xfId="34538"/>
    <cellStyle name="40% - Accent6 28" xfId="12419"/>
    <cellStyle name="40% - Accent6 28 2" xfId="35194"/>
    <cellStyle name="40% - Accent6 29" xfId="13075"/>
    <cellStyle name="40% - Accent6 29 2" xfId="35850"/>
    <cellStyle name="40% - Accent6 3" xfId="63"/>
    <cellStyle name="40% - Accent6 3 10" xfId="5890"/>
    <cellStyle name="40% - Accent6 3 10 2" xfId="28665"/>
    <cellStyle name="40% - Accent6 3 11" xfId="2282"/>
    <cellStyle name="40% - Accent6 3 11 2" xfId="25057"/>
    <cellStyle name="40% - Accent6 3 12" xfId="6546"/>
    <cellStyle name="40% - Accent6 3 12 2" xfId="29321"/>
    <cellStyle name="40% - Accent6 3 13" xfId="7202"/>
    <cellStyle name="40% - Accent6 3 13 2" xfId="29977"/>
    <cellStyle name="40% - Accent6 3 14" xfId="7858"/>
    <cellStyle name="40% - Accent6 3 14 2" xfId="30633"/>
    <cellStyle name="40% - Accent6 3 15" xfId="8514"/>
    <cellStyle name="40% - Accent6 3 15 2" xfId="31289"/>
    <cellStyle name="40% - Accent6 3 16" xfId="9170"/>
    <cellStyle name="40% - Accent6 3 16 2" xfId="31945"/>
    <cellStyle name="40% - Accent6 3 17" xfId="9826"/>
    <cellStyle name="40% - Accent6 3 17 2" xfId="32601"/>
    <cellStyle name="40% - Accent6 3 18" xfId="10482"/>
    <cellStyle name="40% - Accent6 3 18 2" xfId="33257"/>
    <cellStyle name="40% - Accent6 3 19" xfId="11138"/>
    <cellStyle name="40% - Accent6 3 19 2" xfId="33913"/>
    <cellStyle name="40% - Accent6 3 2" xfId="141"/>
    <cellStyle name="40% - Accent6 3 2 10" xfId="2337"/>
    <cellStyle name="40% - Accent6 3 2 10 2" xfId="25112"/>
    <cellStyle name="40% - Accent6 3 2 11" xfId="6601"/>
    <cellStyle name="40% - Accent6 3 2 11 2" xfId="29376"/>
    <cellStyle name="40% - Accent6 3 2 12" xfId="7257"/>
    <cellStyle name="40% - Accent6 3 2 12 2" xfId="30032"/>
    <cellStyle name="40% - Accent6 3 2 13" xfId="7913"/>
    <cellStyle name="40% - Accent6 3 2 13 2" xfId="30688"/>
    <cellStyle name="40% - Accent6 3 2 14" xfId="8569"/>
    <cellStyle name="40% - Accent6 3 2 14 2" xfId="31344"/>
    <cellStyle name="40% - Accent6 3 2 15" xfId="9225"/>
    <cellStyle name="40% - Accent6 3 2 15 2" xfId="32000"/>
    <cellStyle name="40% - Accent6 3 2 16" xfId="9881"/>
    <cellStyle name="40% - Accent6 3 2 16 2" xfId="32656"/>
    <cellStyle name="40% - Accent6 3 2 17" xfId="10537"/>
    <cellStyle name="40% - Accent6 3 2 17 2" xfId="33312"/>
    <cellStyle name="40% - Accent6 3 2 18" xfId="11193"/>
    <cellStyle name="40% - Accent6 3 2 18 2" xfId="33968"/>
    <cellStyle name="40% - Accent6 3 2 19" xfId="11849"/>
    <cellStyle name="40% - Accent6 3 2 19 2" xfId="34624"/>
    <cellStyle name="40% - Accent6 3 2 2" xfId="553"/>
    <cellStyle name="40% - Accent6 3 2 2 10" xfId="6786"/>
    <cellStyle name="40% - Accent6 3 2 2 10 2" xfId="29561"/>
    <cellStyle name="40% - Accent6 3 2 2 11" xfId="7442"/>
    <cellStyle name="40% - Accent6 3 2 2 11 2" xfId="30217"/>
    <cellStyle name="40% - Accent6 3 2 2 12" xfId="8098"/>
    <cellStyle name="40% - Accent6 3 2 2 12 2" xfId="30873"/>
    <cellStyle name="40% - Accent6 3 2 2 13" xfId="8754"/>
    <cellStyle name="40% - Accent6 3 2 2 13 2" xfId="31529"/>
    <cellStyle name="40% - Accent6 3 2 2 14" xfId="9410"/>
    <cellStyle name="40% - Accent6 3 2 2 14 2" xfId="32185"/>
    <cellStyle name="40% - Accent6 3 2 2 15" xfId="10066"/>
    <cellStyle name="40% - Accent6 3 2 2 15 2" xfId="32841"/>
    <cellStyle name="40% - Accent6 3 2 2 16" xfId="10722"/>
    <cellStyle name="40% - Accent6 3 2 2 16 2" xfId="33497"/>
    <cellStyle name="40% - Accent6 3 2 2 17" xfId="11378"/>
    <cellStyle name="40% - Accent6 3 2 2 17 2" xfId="34153"/>
    <cellStyle name="40% - Accent6 3 2 2 18" xfId="12034"/>
    <cellStyle name="40% - Accent6 3 2 2 18 2" xfId="34809"/>
    <cellStyle name="40% - Accent6 3 2 2 19" xfId="12690"/>
    <cellStyle name="40% - Accent6 3 2 2 19 2" xfId="35465"/>
    <cellStyle name="40% - Accent6 3 2 2 2" xfId="882"/>
    <cellStyle name="40% - Accent6 3 2 2 2 10" xfId="8426"/>
    <cellStyle name="40% - Accent6 3 2 2 2 10 2" xfId="31201"/>
    <cellStyle name="40% - Accent6 3 2 2 2 11" xfId="9082"/>
    <cellStyle name="40% - Accent6 3 2 2 2 11 2" xfId="31857"/>
    <cellStyle name="40% - Accent6 3 2 2 2 12" xfId="9738"/>
    <cellStyle name="40% - Accent6 3 2 2 2 12 2" xfId="32513"/>
    <cellStyle name="40% - Accent6 3 2 2 2 13" xfId="10394"/>
    <cellStyle name="40% - Accent6 3 2 2 2 13 2" xfId="33169"/>
    <cellStyle name="40% - Accent6 3 2 2 2 14" xfId="11050"/>
    <cellStyle name="40% - Accent6 3 2 2 2 14 2" xfId="33825"/>
    <cellStyle name="40% - Accent6 3 2 2 2 15" xfId="11706"/>
    <cellStyle name="40% - Accent6 3 2 2 2 15 2" xfId="34481"/>
    <cellStyle name="40% - Accent6 3 2 2 2 16" xfId="12362"/>
    <cellStyle name="40% - Accent6 3 2 2 2 16 2" xfId="35137"/>
    <cellStyle name="40% - Accent6 3 2 2 2 17" xfId="13018"/>
    <cellStyle name="40% - Accent6 3 2 2 2 17 2" xfId="35793"/>
    <cellStyle name="40% - Accent6 3 2 2 2 18" xfId="13674"/>
    <cellStyle name="40% - Accent6 3 2 2 2 18 2" xfId="36449"/>
    <cellStyle name="40% - Accent6 3 2 2 2 19" xfId="14330"/>
    <cellStyle name="40% - Accent6 3 2 2 2 19 2" xfId="37105"/>
    <cellStyle name="40% - Accent6 3 2 2 2 2" xfId="1538"/>
    <cellStyle name="40% - Accent6 3 2 2 2 2 2" xfId="3834"/>
    <cellStyle name="40% - Accent6 3 2 2 2 2 2 2" xfId="26609"/>
    <cellStyle name="40% - Accent6 3 2 2 2 2 3" xfId="24313"/>
    <cellStyle name="40% - Accent6 3 2 2 2 20" xfId="14986"/>
    <cellStyle name="40% - Accent6 3 2 2 2 20 2" xfId="37761"/>
    <cellStyle name="40% - Accent6 3 2 2 2 21" xfId="15642"/>
    <cellStyle name="40% - Accent6 3 2 2 2 21 2" xfId="38417"/>
    <cellStyle name="40% - Accent6 3 2 2 2 22" xfId="16298"/>
    <cellStyle name="40% - Accent6 3 2 2 2 22 2" xfId="39073"/>
    <cellStyle name="40% - Accent6 3 2 2 2 23" xfId="16954"/>
    <cellStyle name="40% - Accent6 3 2 2 2 23 2" xfId="39729"/>
    <cellStyle name="40% - Accent6 3 2 2 2 24" xfId="17610"/>
    <cellStyle name="40% - Accent6 3 2 2 2 24 2" xfId="40385"/>
    <cellStyle name="40% - Accent6 3 2 2 2 25" xfId="18266"/>
    <cellStyle name="40% - Accent6 3 2 2 2 25 2" xfId="41041"/>
    <cellStyle name="40% - Accent6 3 2 2 2 26" xfId="18922"/>
    <cellStyle name="40% - Accent6 3 2 2 2 26 2" xfId="41697"/>
    <cellStyle name="40% - Accent6 3 2 2 2 27" xfId="19578"/>
    <cellStyle name="40% - Accent6 3 2 2 2 27 2" xfId="42353"/>
    <cellStyle name="40% - Accent6 3 2 2 2 28" xfId="20234"/>
    <cellStyle name="40% - Accent6 3 2 2 2 28 2" xfId="43009"/>
    <cellStyle name="40% - Accent6 3 2 2 2 29" xfId="20890"/>
    <cellStyle name="40% - Accent6 3 2 2 2 29 2" xfId="43665"/>
    <cellStyle name="40% - Accent6 3 2 2 2 3" xfId="2194"/>
    <cellStyle name="40% - Accent6 3 2 2 2 3 2" xfId="4490"/>
    <cellStyle name="40% - Accent6 3 2 2 2 3 2 2" xfId="27265"/>
    <cellStyle name="40% - Accent6 3 2 2 2 3 3" xfId="24969"/>
    <cellStyle name="40% - Accent6 3 2 2 2 30" xfId="21546"/>
    <cellStyle name="40% - Accent6 3 2 2 2 30 2" xfId="44321"/>
    <cellStyle name="40% - Accent6 3 2 2 2 31" xfId="22202"/>
    <cellStyle name="40% - Accent6 3 2 2 2 31 2" xfId="44977"/>
    <cellStyle name="40% - Accent6 3 2 2 2 32" xfId="22858"/>
    <cellStyle name="40% - Accent6 3 2 2 2 32 2" xfId="45633"/>
    <cellStyle name="40% - Accent6 3 2 2 2 33" xfId="23657"/>
    <cellStyle name="40% - Accent6 3 2 2 2 4" xfId="5146"/>
    <cellStyle name="40% - Accent6 3 2 2 2 4 2" xfId="27921"/>
    <cellStyle name="40% - Accent6 3 2 2 2 5" xfId="5802"/>
    <cellStyle name="40% - Accent6 3 2 2 2 5 2" xfId="28577"/>
    <cellStyle name="40% - Accent6 3 2 2 2 6" xfId="6458"/>
    <cellStyle name="40% - Accent6 3 2 2 2 6 2" xfId="29233"/>
    <cellStyle name="40% - Accent6 3 2 2 2 7" xfId="3178"/>
    <cellStyle name="40% - Accent6 3 2 2 2 7 2" xfId="25953"/>
    <cellStyle name="40% - Accent6 3 2 2 2 8" xfId="7114"/>
    <cellStyle name="40% - Accent6 3 2 2 2 8 2" xfId="29889"/>
    <cellStyle name="40% - Accent6 3 2 2 2 9" xfId="7770"/>
    <cellStyle name="40% - Accent6 3 2 2 2 9 2" xfId="30545"/>
    <cellStyle name="40% - Accent6 3 2 2 20" xfId="13346"/>
    <cellStyle name="40% - Accent6 3 2 2 20 2" xfId="36121"/>
    <cellStyle name="40% - Accent6 3 2 2 21" xfId="14002"/>
    <cellStyle name="40% - Accent6 3 2 2 21 2" xfId="36777"/>
    <cellStyle name="40% - Accent6 3 2 2 22" xfId="14658"/>
    <cellStyle name="40% - Accent6 3 2 2 22 2" xfId="37433"/>
    <cellStyle name="40% - Accent6 3 2 2 23" xfId="15314"/>
    <cellStyle name="40% - Accent6 3 2 2 23 2" xfId="38089"/>
    <cellStyle name="40% - Accent6 3 2 2 24" xfId="15970"/>
    <cellStyle name="40% - Accent6 3 2 2 24 2" xfId="38745"/>
    <cellStyle name="40% - Accent6 3 2 2 25" xfId="16626"/>
    <cellStyle name="40% - Accent6 3 2 2 25 2" xfId="39401"/>
    <cellStyle name="40% - Accent6 3 2 2 26" xfId="17282"/>
    <cellStyle name="40% - Accent6 3 2 2 26 2" xfId="40057"/>
    <cellStyle name="40% - Accent6 3 2 2 27" xfId="17938"/>
    <cellStyle name="40% - Accent6 3 2 2 27 2" xfId="40713"/>
    <cellStyle name="40% - Accent6 3 2 2 28" xfId="18594"/>
    <cellStyle name="40% - Accent6 3 2 2 28 2" xfId="41369"/>
    <cellStyle name="40% - Accent6 3 2 2 29" xfId="19250"/>
    <cellStyle name="40% - Accent6 3 2 2 29 2" xfId="42025"/>
    <cellStyle name="40% - Accent6 3 2 2 3" xfId="1210"/>
    <cellStyle name="40% - Accent6 3 2 2 3 2" xfId="2850"/>
    <cellStyle name="40% - Accent6 3 2 2 3 2 2" xfId="25625"/>
    <cellStyle name="40% - Accent6 3 2 2 3 3" xfId="23985"/>
    <cellStyle name="40% - Accent6 3 2 2 30" xfId="19906"/>
    <cellStyle name="40% - Accent6 3 2 2 30 2" xfId="42681"/>
    <cellStyle name="40% - Accent6 3 2 2 31" xfId="20562"/>
    <cellStyle name="40% - Accent6 3 2 2 31 2" xfId="43337"/>
    <cellStyle name="40% - Accent6 3 2 2 32" xfId="21218"/>
    <cellStyle name="40% - Accent6 3 2 2 32 2" xfId="43993"/>
    <cellStyle name="40% - Accent6 3 2 2 33" xfId="21874"/>
    <cellStyle name="40% - Accent6 3 2 2 33 2" xfId="44649"/>
    <cellStyle name="40% - Accent6 3 2 2 34" xfId="22530"/>
    <cellStyle name="40% - Accent6 3 2 2 34 2" xfId="45305"/>
    <cellStyle name="40% - Accent6 3 2 2 35" xfId="23329"/>
    <cellStyle name="40% - Accent6 3 2 2 4" xfId="1866"/>
    <cellStyle name="40% - Accent6 3 2 2 4 2" xfId="3506"/>
    <cellStyle name="40% - Accent6 3 2 2 4 2 2" xfId="26281"/>
    <cellStyle name="40% - Accent6 3 2 2 4 3" xfId="24641"/>
    <cellStyle name="40% - Accent6 3 2 2 5" xfId="4162"/>
    <cellStyle name="40% - Accent6 3 2 2 5 2" xfId="26937"/>
    <cellStyle name="40% - Accent6 3 2 2 6" xfId="4818"/>
    <cellStyle name="40% - Accent6 3 2 2 6 2" xfId="27593"/>
    <cellStyle name="40% - Accent6 3 2 2 7" xfId="5474"/>
    <cellStyle name="40% - Accent6 3 2 2 7 2" xfId="28249"/>
    <cellStyle name="40% - Accent6 3 2 2 8" xfId="6130"/>
    <cellStyle name="40% - Accent6 3 2 2 8 2" xfId="28905"/>
    <cellStyle name="40% - Accent6 3 2 2 9" xfId="2522"/>
    <cellStyle name="40% - Accent6 3 2 2 9 2" xfId="25297"/>
    <cellStyle name="40% - Accent6 3 2 20" xfId="12505"/>
    <cellStyle name="40% - Accent6 3 2 20 2" xfId="35280"/>
    <cellStyle name="40% - Accent6 3 2 21" xfId="13161"/>
    <cellStyle name="40% - Accent6 3 2 21 2" xfId="35936"/>
    <cellStyle name="40% - Accent6 3 2 22" xfId="13817"/>
    <cellStyle name="40% - Accent6 3 2 22 2" xfId="36592"/>
    <cellStyle name="40% - Accent6 3 2 23" xfId="14473"/>
    <cellStyle name="40% - Accent6 3 2 23 2" xfId="37248"/>
    <cellStyle name="40% - Accent6 3 2 24" xfId="15129"/>
    <cellStyle name="40% - Accent6 3 2 24 2" xfId="37904"/>
    <cellStyle name="40% - Accent6 3 2 25" xfId="15785"/>
    <cellStyle name="40% - Accent6 3 2 25 2" xfId="38560"/>
    <cellStyle name="40% - Accent6 3 2 26" xfId="16441"/>
    <cellStyle name="40% - Accent6 3 2 26 2" xfId="39216"/>
    <cellStyle name="40% - Accent6 3 2 27" xfId="17097"/>
    <cellStyle name="40% - Accent6 3 2 27 2" xfId="39872"/>
    <cellStyle name="40% - Accent6 3 2 28" xfId="17753"/>
    <cellStyle name="40% - Accent6 3 2 28 2" xfId="40528"/>
    <cellStyle name="40% - Accent6 3 2 29" xfId="18409"/>
    <cellStyle name="40% - Accent6 3 2 29 2" xfId="41184"/>
    <cellStyle name="40% - Accent6 3 2 3" xfId="697"/>
    <cellStyle name="40% - Accent6 3 2 3 10" xfId="8241"/>
    <cellStyle name="40% - Accent6 3 2 3 10 2" xfId="31016"/>
    <cellStyle name="40% - Accent6 3 2 3 11" xfId="8897"/>
    <cellStyle name="40% - Accent6 3 2 3 11 2" xfId="31672"/>
    <cellStyle name="40% - Accent6 3 2 3 12" xfId="9553"/>
    <cellStyle name="40% - Accent6 3 2 3 12 2" xfId="32328"/>
    <cellStyle name="40% - Accent6 3 2 3 13" xfId="10209"/>
    <cellStyle name="40% - Accent6 3 2 3 13 2" xfId="32984"/>
    <cellStyle name="40% - Accent6 3 2 3 14" xfId="10865"/>
    <cellStyle name="40% - Accent6 3 2 3 14 2" xfId="33640"/>
    <cellStyle name="40% - Accent6 3 2 3 15" xfId="11521"/>
    <cellStyle name="40% - Accent6 3 2 3 15 2" xfId="34296"/>
    <cellStyle name="40% - Accent6 3 2 3 16" xfId="12177"/>
    <cellStyle name="40% - Accent6 3 2 3 16 2" xfId="34952"/>
    <cellStyle name="40% - Accent6 3 2 3 17" xfId="12833"/>
    <cellStyle name="40% - Accent6 3 2 3 17 2" xfId="35608"/>
    <cellStyle name="40% - Accent6 3 2 3 18" xfId="13489"/>
    <cellStyle name="40% - Accent6 3 2 3 18 2" xfId="36264"/>
    <cellStyle name="40% - Accent6 3 2 3 19" xfId="14145"/>
    <cellStyle name="40% - Accent6 3 2 3 19 2" xfId="36920"/>
    <cellStyle name="40% - Accent6 3 2 3 2" xfId="1353"/>
    <cellStyle name="40% - Accent6 3 2 3 2 2" xfId="3649"/>
    <cellStyle name="40% - Accent6 3 2 3 2 2 2" xfId="26424"/>
    <cellStyle name="40% - Accent6 3 2 3 2 3" xfId="24128"/>
    <cellStyle name="40% - Accent6 3 2 3 20" xfId="14801"/>
    <cellStyle name="40% - Accent6 3 2 3 20 2" xfId="37576"/>
    <cellStyle name="40% - Accent6 3 2 3 21" xfId="15457"/>
    <cellStyle name="40% - Accent6 3 2 3 21 2" xfId="38232"/>
    <cellStyle name="40% - Accent6 3 2 3 22" xfId="16113"/>
    <cellStyle name="40% - Accent6 3 2 3 22 2" xfId="38888"/>
    <cellStyle name="40% - Accent6 3 2 3 23" xfId="16769"/>
    <cellStyle name="40% - Accent6 3 2 3 23 2" xfId="39544"/>
    <cellStyle name="40% - Accent6 3 2 3 24" xfId="17425"/>
    <cellStyle name="40% - Accent6 3 2 3 24 2" xfId="40200"/>
    <cellStyle name="40% - Accent6 3 2 3 25" xfId="18081"/>
    <cellStyle name="40% - Accent6 3 2 3 25 2" xfId="40856"/>
    <cellStyle name="40% - Accent6 3 2 3 26" xfId="18737"/>
    <cellStyle name="40% - Accent6 3 2 3 26 2" xfId="41512"/>
    <cellStyle name="40% - Accent6 3 2 3 27" xfId="19393"/>
    <cellStyle name="40% - Accent6 3 2 3 27 2" xfId="42168"/>
    <cellStyle name="40% - Accent6 3 2 3 28" xfId="20049"/>
    <cellStyle name="40% - Accent6 3 2 3 28 2" xfId="42824"/>
    <cellStyle name="40% - Accent6 3 2 3 29" xfId="20705"/>
    <cellStyle name="40% - Accent6 3 2 3 29 2" xfId="43480"/>
    <cellStyle name="40% - Accent6 3 2 3 3" xfId="2009"/>
    <cellStyle name="40% - Accent6 3 2 3 3 2" xfId="4305"/>
    <cellStyle name="40% - Accent6 3 2 3 3 2 2" xfId="27080"/>
    <cellStyle name="40% - Accent6 3 2 3 3 3" xfId="24784"/>
    <cellStyle name="40% - Accent6 3 2 3 30" xfId="21361"/>
    <cellStyle name="40% - Accent6 3 2 3 30 2" xfId="44136"/>
    <cellStyle name="40% - Accent6 3 2 3 31" xfId="22017"/>
    <cellStyle name="40% - Accent6 3 2 3 31 2" xfId="44792"/>
    <cellStyle name="40% - Accent6 3 2 3 32" xfId="22673"/>
    <cellStyle name="40% - Accent6 3 2 3 32 2" xfId="45448"/>
    <cellStyle name="40% - Accent6 3 2 3 33" xfId="23472"/>
    <cellStyle name="40% - Accent6 3 2 3 4" xfId="4961"/>
    <cellStyle name="40% - Accent6 3 2 3 4 2" xfId="27736"/>
    <cellStyle name="40% - Accent6 3 2 3 5" xfId="5617"/>
    <cellStyle name="40% - Accent6 3 2 3 5 2" xfId="28392"/>
    <cellStyle name="40% - Accent6 3 2 3 6" xfId="6273"/>
    <cellStyle name="40% - Accent6 3 2 3 6 2" xfId="29048"/>
    <cellStyle name="40% - Accent6 3 2 3 7" xfId="2993"/>
    <cellStyle name="40% - Accent6 3 2 3 7 2" xfId="25768"/>
    <cellStyle name="40% - Accent6 3 2 3 8" xfId="6929"/>
    <cellStyle name="40% - Accent6 3 2 3 8 2" xfId="29704"/>
    <cellStyle name="40% - Accent6 3 2 3 9" xfId="7585"/>
    <cellStyle name="40% - Accent6 3 2 3 9 2" xfId="30360"/>
    <cellStyle name="40% - Accent6 3 2 30" xfId="19065"/>
    <cellStyle name="40% - Accent6 3 2 30 2" xfId="41840"/>
    <cellStyle name="40% - Accent6 3 2 31" xfId="19721"/>
    <cellStyle name="40% - Accent6 3 2 31 2" xfId="42496"/>
    <cellStyle name="40% - Accent6 3 2 32" xfId="20377"/>
    <cellStyle name="40% - Accent6 3 2 32 2" xfId="43152"/>
    <cellStyle name="40% - Accent6 3 2 33" xfId="21033"/>
    <cellStyle name="40% - Accent6 3 2 33 2" xfId="43808"/>
    <cellStyle name="40% - Accent6 3 2 34" xfId="21689"/>
    <cellStyle name="40% - Accent6 3 2 34 2" xfId="44464"/>
    <cellStyle name="40% - Accent6 3 2 35" xfId="22345"/>
    <cellStyle name="40% - Accent6 3 2 35 2" xfId="45120"/>
    <cellStyle name="40% - Accent6 3 2 36" xfId="23001"/>
    <cellStyle name="40% - Accent6 3 2 4" xfId="370"/>
    <cellStyle name="40% - Accent6 3 2 4 2" xfId="2665"/>
    <cellStyle name="40% - Accent6 3 2 4 2 2" xfId="25440"/>
    <cellStyle name="40% - Accent6 3 2 4 3" xfId="23144"/>
    <cellStyle name="40% - Accent6 3 2 5" xfId="1025"/>
    <cellStyle name="40% - Accent6 3 2 5 2" xfId="3321"/>
    <cellStyle name="40% - Accent6 3 2 5 2 2" xfId="26096"/>
    <cellStyle name="40% - Accent6 3 2 5 3" xfId="23800"/>
    <cellStyle name="40% - Accent6 3 2 6" xfId="1681"/>
    <cellStyle name="40% - Accent6 3 2 6 2" xfId="3977"/>
    <cellStyle name="40% - Accent6 3 2 6 2 2" xfId="26752"/>
    <cellStyle name="40% - Accent6 3 2 6 3" xfId="24456"/>
    <cellStyle name="40% - Accent6 3 2 7" xfId="4633"/>
    <cellStyle name="40% - Accent6 3 2 7 2" xfId="27408"/>
    <cellStyle name="40% - Accent6 3 2 8" xfId="5289"/>
    <cellStyle name="40% - Accent6 3 2 8 2" xfId="28064"/>
    <cellStyle name="40% - Accent6 3 2 9" xfId="5945"/>
    <cellStyle name="40% - Accent6 3 2 9 2" xfId="28720"/>
    <cellStyle name="40% - Accent6 3 20" xfId="11794"/>
    <cellStyle name="40% - Accent6 3 20 2" xfId="34569"/>
    <cellStyle name="40% - Accent6 3 21" xfId="12450"/>
    <cellStyle name="40% - Accent6 3 21 2" xfId="35225"/>
    <cellStyle name="40% - Accent6 3 22" xfId="13106"/>
    <cellStyle name="40% - Accent6 3 22 2" xfId="35881"/>
    <cellStyle name="40% - Accent6 3 23" xfId="13762"/>
    <cellStyle name="40% - Accent6 3 23 2" xfId="36537"/>
    <cellStyle name="40% - Accent6 3 24" xfId="14418"/>
    <cellStyle name="40% - Accent6 3 24 2" xfId="37193"/>
    <cellStyle name="40% - Accent6 3 25" xfId="15074"/>
    <cellStyle name="40% - Accent6 3 25 2" xfId="37849"/>
    <cellStyle name="40% - Accent6 3 26" xfId="15730"/>
    <cellStyle name="40% - Accent6 3 26 2" xfId="38505"/>
    <cellStyle name="40% - Accent6 3 27" xfId="16386"/>
    <cellStyle name="40% - Accent6 3 27 2" xfId="39161"/>
    <cellStyle name="40% - Accent6 3 28" xfId="17042"/>
    <cellStyle name="40% - Accent6 3 28 2" xfId="39817"/>
    <cellStyle name="40% - Accent6 3 29" xfId="17698"/>
    <cellStyle name="40% - Accent6 3 29 2" xfId="40473"/>
    <cellStyle name="40% - Accent6 3 3" xfId="499"/>
    <cellStyle name="40% - Accent6 3 3 10" xfId="6731"/>
    <cellStyle name="40% - Accent6 3 3 10 2" xfId="29506"/>
    <cellStyle name="40% - Accent6 3 3 11" xfId="7387"/>
    <cellStyle name="40% - Accent6 3 3 11 2" xfId="30162"/>
    <cellStyle name="40% - Accent6 3 3 12" xfId="8043"/>
    <cellStyle name="40% - Accent6 3 3 12 2" xfId="30818"/>
    <cellStyle name="40% - Accent6 3 3 13" xfId="8699"/>
    <cellStyle name="40% - Accent6 3 3 13 2" xfId="31474"/>
    <cellStyle name="40% - Accent6 3 3 14" xfId="9355"/>
    <cellStyle name="40% - Accent6 3 3 14 2" xfId="32130"/>
    <cellStyle name="40% - Accent6 3 3 15" xfId="10011"/>
    <cellStyle name="40% - Accent6 3 3 15 2" xfId="32786"/>
    <cellStyle name="40% - Accent6 3 3 16" xfId="10667"/>
    <cellStyle name="40% - Accent6 3 3 16 2" xfId="33442"/>
    <cellStyle name="40% - Accent6 3 3 17" xfId="11323"/>
    <cellStyle name="40% - Accent6 3 3 17 2" xfId="34098"/>
    <cellStyle name="40% - Accent6 3 3 18" xfId="11979"/>
    <cellStyle name="40% - Accent6 3 3 18 2" xfId="34754"/>
    <cellStyle name="40% - Accent6 3 3 19" xfId="12635"/>
    <cellStyle name="40% - Accent6 3 3 19 2" xfId="35410"/>
    <cellStyle name="40% - Accent6 3 3 2" xfId="827"/>
    <cellStyle name="40% - Accent6 3 3 2 10" xfId="8371"/>
    <cellStyle name="40% - Accent6 3 3 2 10 2" xfId="31146"/>
    <cellStyle name="40% - Accent6 3 3 2 11" xfId="9027"/>
    <cellStyle name="40% - Accent6 3 3 2 11 2" xfId="31802"/>
    <cellStyle name="40% - Accent6 3 3 2 12" xfId="9683"/>
    <cellStyle name="40% - Accent6 3 3 2 12 2" xfId="32458"/>
    <cellStyle name="40% - Accent6 3 3 2 13" xfId="10339"/>
    <cellStyle name="40% - Accent6 3 3 2 13 2" xfId="33114"/>
    <cellStyle name="40% - Accent6 3 3 2 14" xfId="10995"/>
    <cellStyle name="40% - Accent6 3 3 2 14 2" xfId="33770"/>
    <cellStyle name="40% - Accent6 3 3 2 15" xfId="11651"/>
    <cellStyle name="40% - Accent6 3 3 2 15 2" xfId="34426"/>
    <cellStyle name="40% - Accent6 3 3 2 16" xfId="12307"/>
    <cellStyle name="40% - Accent6 3 3 2 16 2" xfId="35082"/>
    <cellStyle name="40% - Accent6 3 3 2 17" xfId="12963"/>
    <cellStyle name="40% - Accent6 3 3 2 17 2" xfId="35738"/>
    <cellStyle name="40% - Accent6 3 3 2 18" xfId="13619"/>
    <cellStyle name="40% - Accent6 3 3 2 18 2" xfId="36394"/>
    <cellStyle name="40% - Accent6 3 3 2 19" xfId="14275"/>
    <cellStyle name="40% - Accent6 3 3 2 19 2" xfId="37050"/>
    <cellStyle name="40% - Accent6 3 3 2 2" xfId="1483"/>
    <cellStyle name="40% - Accent6 3 3 2 2 2" xfId="3779"/>
    <cellStyle name="40% - Accent6 3 3 2 2 2 2" xfId="26554"/>
    <cellStyle name="40% - Accent6 3 3 2 2 3" xfId="24258"/>
    <cellStyle name="40% - Accent6 3 3 2 20" xfId="14931"/>
    <cellStyle name="40% - Accent6 3 3 2 20 2" xfId="37706"/>
    <cellStyle name="40% - Accent6 3 3 2 21" xfId="15587"/>
    <cellStyle name="40% - Accent6 3 3 2 21 2" xfId="38362"/>
    <cellStyle name="40% - Accent6 3 3 2 22" xfId="16243"/>
    <cellStyle name="40% - Accent6 3 3 2 22 2" xfId="39018"/>
    <cellStyle name="40% - Accent6 3 3 2 23" xfId="16899"/>
    <cellStyle name="40% - Accent6 3 3 2 23 2" xfId="39674"/>
    <cellStyle name="40% - Accent6 3 3 2 24" xfId="17555"/>
    <cellStyle name="40% - Accent6 3 3 2 24 2" xfId="40330"/>
    <cellStyle name="40% - Accent6 3 3 2 25" xfId="18211"/>
    <cellStyle name="40% - Accent6 3 3 2 25 2" xfId="40986"/>
    <cellStyle name="40% - Accent6 3 3 2 26" xfId="18867"/>
    <cellStyle name="40% - Accent6 3 3 2 26 2" xfId="41642"/>
    <cellStyle name="40% - Accent6 3 3 2 27" xfId="19523"/>
    <cellStyle name="40% - Accent6 3 3 2 27 2" xfId="42298"/>
    <cellStyle name="40% - Accent6 3 3 2 28" xfId="20179"/>
    <cellStyle name="40% - Accent6 3 3 2 28 2" xfId="42954"/>
    <cellStyle name="40% - Accent6 3 3 2 29" xfId="20835"/>
    <cellStyle name="40% - Accent6 3 3 2 29 2" xfId="43610"/>
    <cellStyle name="40% - Accent6 3 3 2 3" xfId="2139"/>
    <cellStyle name="40% - Accent6 3 3 2 3 2" xfId="4435"/>
    <cellStyle name="40% - Accent6 3 3 2 3 2 2" xfId="27210"/>
    <cellStyle name="40% - Accent6 3 3 2 3 3" xfId="24914"/>
    <cellStyle name="40% - Accent6 3 3 2 30" xfId="21491"/>
    <cellStyle name="40% - Accent6 3 3 2 30 2" xfId="44266"/>
    <cellStyle name="40% - Accent6 3 3 2 31" xfId="22147"/>
    <cellStyle name="40% - Accent6 3 3 2 31 2" xfId="44922"/>
    <cellStyle name="40% - Accent6 3 3 2 32" xfId="22803"/>
    <cellStyle name="40% - Accent6 3 3 2 32 2" xfId="45578"/>
    <cellStyle name="40% - Accent6 3 3 2 33" xfId="23602"/>
    <cellStyle name="40% - Accent6 3 3 2 4" xfId="5091"/>
    <cellStyle name="40% - Accent6 3 3 2 4 2" xfId="27866"/>
    <cellStyle name="40% - Accent6 3 3 2 5" xfId="5747"/>
    <cellStyle name="40% - Accent6 3 3 2 5 2" xfId="28522"/>
    <cellStyle name="40% - Accent6 3 3 2 6" xfId="6403"/>
    <cellStyle name="40% - Accent6 3 3 2 6 2" xfId="29178"/>
    <cellStyle name="40% - Accent6 3 3 2 7" xfId="3123"/>
    <cellStyle name="40% - Accent6 3 3 2 7 2" xfId="25898"/>
    <cellStyle name="40% - Accent6 3 3 2 8" xfId="7059"/>
    <cellStyle name="40% - Accent6 3 3 2 8 2" xfId="29834"/>
    <cellStyle name="40% - Accent6 3 3 2 9" xfId="7715"/>
    <cellStyle name="40% - Accent6 3 3 2 9 2" xfId="30490"/>
    <cellStyle name="40% - Accent6 3 3 20" xfId="13291"/>
    <cellStyle name="40% - Accent6 3 3 20 2" xfId="36066"/>
    <cellStyle name="40% - Accent6 3 3 21" xfId="13947"/>
    <cellStyle name="40% - Accent6 3 3 21 2" xfId="36722"/>
    <cellStyle name="40% - Accent6 3 3 22" xfId="14603"/>
    <cellStyle name="40% - Accent6 3 3 22 2" xfId="37378"/>
    <cellStyle name="40% - Accent6 3 3 23" xfId="15259"/>
    <cellStyle name="40% - Accent6 3 3 23 2" xfId="38034"/>
    <cellStyle name="40% - Accent6 3 3 24" xfId="15915"/>
    <cellStyle name="40% - Accent6 3 3 24 2" xfId="38690"/>
    <cellStyle name="40% - Accent6 3 3 25" xfId="16571"/>
    <cellStyle name="40% - Accent6 3 3 25 2" xfId="39346"/>
    <cellStyle name="40% - Accent6 3 3 26" xfId="17227"/>
    <cellStyle name="40% - Accent6 3 3 26 2" xfId="40002"/>
    <cellStyle name="40% - Accent6 3 3 27" xfId="17883"/>
    <cellStyle name="40% - Accent6 3 3 27 2" xfId="40658"/>
    <cellStyle name="40% - Accent6 3 3 28" xfId="18539"/>
    <cellStyle name="40% - Accent6 3 3 28 2" xfId="41314"/>
    <cellStyle name="40% - Accent6 3 3 29" xfId="19195"/>
    <cellStyle name="40% - Accent6 3 3 29 2" xfId="41970"/>
    <cellStyle name="40% - Accent6 3 3 3" xfId="1155"/>
    <cellStyle name="40% - Accent6 3 3 3 2" xfId="2795"/>
    <cellStyle name="40% - Accent6 3 3 3 2 2" xfId="25570"/>
    <cellStyle name="40% - Accent6 3 3 3 3" xfId="23930"/>
    <cellStyle name="40% - Accent6 3 3 30" xfId="19851"/>
    <cellStyle name="40% - Accent6 3 3 30 2" xfId="42626"/>
    <cellStyle name="40% - Accent6 3 3 31" xfId="20507"/>
    <cellStyle name="40% - Accent6 3 3 31 2" xfId="43282"/>
    <cellStyle name="40% - Accent6 3 3 32" xfId="21163"/>
    <cellStyle name="40% - Accent6 3 3 32 2" xfId="43938"/>
    <cellStyle name="40% - Accent6 3 3 33" xfId="21819"/>
    <cellStyle name="40% - Accent6 3 3 33 2" xfId="44594"/>
    <cellStyle name="40% - Accent6 3 3 34" xfId="22475"/>
    <cellStyle name="40% - Accent6 3 3 34 2" xfId="45250"/>
    <cellStyle name="40% - Accent6 3 3 35" xfId="23274"/>
    <cellStyle name="40% - Accent6 3 3 4" xfId="1811"/>
    <cellStyle name="40% - Accent6 3 3 4 2" xfId="3451"/>
    <cellStyle name="40% - Accent6 3 3 4 2 2" xfId="26226"/>
    <cellStyle name="40% - Accent6 3 3 4 3" xfId="24586"/>
    <cellStyle name="40% - Accent6 3 3 5" xfId="4107"/>
    <cellStyle name="40% - Accent6 3 3 5 2" xfId="26882"/>
    <cellStyle name="40% - Accent6 3 3 6" xfId="4763"/>
    <cellStyle name="40% - Accent6 3 3 6 2" xfId="27538"/>
    <cellStyle name="40% - Accent6 3 3 7" xfId="5419"/>
    <cellStyle name="40% - Accent6 3 3 7 2" xfId="28194"/>
    <cellStyle name="40% - Accent6 3 3 8" xfId="6075"/>
    <cellStyle name="40% - Accent6 3 3 8 2" xfId="28850"/>
    <cellStyle name="40% - Accent6 3 3 9" xfId="2467"/>
    <cellStyle name="40% - Accent6 3 3 9 2" xfId="25242"/>
    <cellStyle name="40% - Accent6 3 30" xfId="18354"/>
    <cellStyle name="40% - Accent6 3 30 2" xfId="41129"/>
    <cellStyle name="40% - Accent6 3 31" xfId="19010"/>
    <cellStyle name="40% - Accent6 3 31 2" xfId="41785"/>
    <cellStyle name="40% - Accent6 3 32" xfId="19666"/>
    <cellStyle name="40% - Accent6 3 32 2" xfId="42441"/>
    <cellStyle name="40% - Accent6 3 33" xfId="20322"/>
    <cellStyle name="40% - Accent6 3 33 2" xfId="43097"/>
    <cellStyle name="40% - Accent6 3 34" xfId="20978"/>
    <cellStyle name="40% - Accent6 3 34 2" xfId="43753"/>
    <cellStyle name="40% - Accent6 3 35" xfId="21634"/>
    <cellStyle name="40% - Accent6 3 35 2" xfId="44409"/>
    <cellStyle name="40% - Accent6 3 36" xfId="22290"/>
    <cellStyle name="40% - Accent6 3 36 2" xfId="45065"/>
    <cellStyle name="40% - Accent6 3 37" xfId="229"/>
    <cellStyle name="40% - Accent6 3 38" xfId="22946"/>
    <cellStyle name="40% - Accent6 3 4" xfId="642"/>
    <cellStyle name="40% - Accent6 3 4 10" xfId="8186"/>
    <cellStyle name="40% - Accent6 3 4 10 2" xfId="30961"/>
    <cellStyle name="40% - Accent6 3 4 11" xfId="8842"/>
    <cellStyle name="40% - Accent6 3 4 11 2" xfId="31617"/>
    <cellStyle name="40% - Accent6 3 4 12" xfId="9498"/>
    <cellStyle name="40% - Accent6 3 4 12 2" xfId="32273"/>
    <cellStyle name="40% - Accent6 3 4 13" xfId="10154"/>
    <cellStyle name="40% - Accent6 3 4 13 2" xfId="32929"/>
    <cellStyle name="40% - Accent6 3 4 14" xfId="10810"/>
    <cellStyle name="40% - Accent6 3 4 14 2" xfId="33585"/>
    <cellStyle name="40% - Accent6 3 4 15" xfId="11466"/>
    <cellStyle name="40% - Accent6 3 4 15 2" xfId="34241"/>
    <cellStyle name="40% - Accent6 3 4 16" xfId="12122"/>
    <cellStyle name="40% - Accent6 3 4 16 2" xfId="34897"/>
    <cellStyle name="40% - Accent6 3 4 17" xfId="12778"/>
    <cellStyle name="40% - Accent6 3 4 17 2" xfId="35553"/>
    <cellStyle name="40% - Accent6 3 4 18" xfId="13434"/>
    <cellStyle name="40% - Accent6 3 4 18 2" xfId="36209"/>
    <cellStyle name="40% - Accent6 3 4 19" xfId="14090"/>
    <cellStyle name="40% - Accent6 3 4 19 2" xfId="36865"/>
    <cellStyle name="40% - Accent6 3 4 2" xfId="1298"/>
    <cellStyle name="40% - Accent6 3 4 2 2" xfId="3594"/>
    <cellStyle name="40% - Accent6 3 4 2 2 2" xfId="26369"/>
    <cellStyle name="40% - Accent6 3 4 2 3" xfId="24073"/>
    <cellStyle name="40% - Accent6 3 4 20" xfId="14746"/>
    <cellStyle name="40% - Accent6 3 4 20 2" xfId="37521"/>
    <cellStyle name="40% - Accent6 3 4 21" xfId="15402"/>
    <cellStyle name="40% - Accent6 3 4 21 2" xfId="38177"/>
    <cellStyle name="40% - Accent6 3 4 22" xfId="16058"/>
    <cellStyle name="40% - Accent6 3 4 22 2" xfId="38833"/>
    <cellStyle name="40% - Accent6 3 4 23" xfId="16714"/>
    <cellStyle name="40% - Accent6 3 4 23 2" xfId="39489"/>
    <cellStyle name="40% - Accent6 3 4 24" xfId="17370"/>
    <cellStyle name="40% - Accent6 3 4 24 2" xfId="40145"/>
    <cellStyle name="40% - Accent6 3 4 25" xfId="18026"/>
    <cellStyle name="40% - Accent6 3 4 25 2" xfId="40801"/>
    <cellStyle name="40% - Accent6 3 4 26" xfId="18682"/>
    <cellStyle name="40% - Accent6 3 4 26 2" xfId="41457"/>
    <cellStyle name="40% - Accent6 3 4 27" xfId="19338"/>
    <cellStyle name="40% - Accent6 3 4 27 2" xfId="42113"/>
    <cellStyle name="40% - Accent6 3 4 28" xfId="19994"/>
    <cellStyle name="40% - Accent6 3 4 28 2" xfId="42769"/>
    <cellStyle name="40% - Accent6 3 4 29" xfId="20650"/>
    <cellStyle name="40% - Accent6 3 4 29 2" xfId="43425"/>
    <cellStyle name="40% - Accent6 3 4 3" xfId="1954"/>
    <cellStyle name="40% - Accent6 3 4 3 2" xfId="4250"/>
    <cellStyle name="40% - Accent6 3 4 3 2 2" xfId="27025"/>
    <cellStyle name="40% - Accent6 3 4 3 3" xfId="24729"/>
    <cellStyle name="40% - Accent6 3 4 30" xfId="21306"/>
    <cellStyle name="40% - Accent6 3 4 30 2" xfId="44081"/>
    <cellStyle name="40% - Accent6 3 4 31" xfId="21962"/>
    <cellStyle name="40% - Accent6 3 4 31 2" xfId="44737"/>
    <cellStyle name="40% - Accent6 3 4 32" xfId="22618"/>
    <cellStyle name="40% - Accent6 3 4 32 2" xfId="45393"/>
    <cellStyle name="40% - Accent6 3 4 33" xfId="23417"/>
    <cellStyle name="40% - Accent6 3 4 4" xfId="4906"/>
    <cellStyle name="40% - Accent6 3 4 4 2" xfId="27681"/>
    <cellStyle name="40% - Accent6 3 4 5" xfId="5562"/>
    <cellStyle name="40% - Accent6 3 4 5 2" xfId="28337"/>
    <cellStyle name="40% - Accent6 3 4 6" xfId="6218"/>
    <cellStyle name="40% - Accent6 3 4 6 2" xfId="28993"/>
    <cellStyle name="40% - Accent6 3 4 7" xfId="2938"/>
    <cellStyle name="40% - Accent6 3 4 7 2" xfId="25713"/>
    <cellStyle name="40% - Accent6 3 4 8" xfId="6874"/>
    <cellStyle name="40% - Accent6 3 4 8 2" xfId="29649"/>
    <cellStyle name="40% - Accent6 3 4 9" xfId="7530"/>
    <cellStyle name="40% - Accent6 3 4 9 2" xfId="30305"/>
    <cellStyle name="40% - Accent6 3 5" xfId="315"/>
    <cellStyle name="40% - Accent6 3 5 2" xfId="2610"/>
    <cellStyle name="40% - Accent6 3 5 2 2" xfId="25385"/>
    <cellStyle name="40% - Accent6 3 5 3" xfId="23089"/>
    <cellStyle name="40% - Accent6 3 6" xfId="970"/>
    <cellStyle name="40% - Accent6 3 6 2" xfId="3266"/>
    <cellStyle name="40% - Accent6 3 6 2 2" xfId="26041"/>
    <cellStyle name="40% - Accent6 3 6 3" xfId="23745"/>
    <cellStyle name="40% - Accent6 3 7" xfId="1626"/>
    <cellStyle name="40% - Accent6 3 7 2" xfId="3922"/>
    <cellStyle name="40% - Accent6 3 7 2 2" xfId="26697"/>
    <cellStyle name="40% - Accent6 3 7 3" xfId="24401"/>
    <cellStyle name="40% - Accent6 3 8" xfId="4578"/>
    <cellStyle name="40% - Accent6 3 8 2" xfId="27353"/>
    <cellStyle name="40% - Accent6 3 9" xfId="5234"/>
    <cellStyle name="40% - Accent6 3 9 2" xfId="28009"/>
    <cellStyle name="40% - Accent6 30" xfId="13731"/>
    <cellStyle name="40% - Accent6 30 2" xfId="36506"/>
    <cellStyle name="40% - Accent6 31" xfId="14387"/>
    <cellStyle name="40% - Accent6 31 2" xfId="37162"/>
    <cellStyle name="40% - Accent6 32" xfId="15043"/>
    <cellStyle name="40% - Accent6 32 2" xfId="37818"/>
    <cellStyle name="40% - Accent6 33" xfId="15699"/>
    <cellStyle name="40% - Accent6 33 2" xfId="38474"/>
    <cellStyle name="40% - Accent6 34" xfId="16355"/>
    <cellStyle name="40% - Accent6 34 2" xfId="39130"/>
    <cellStyle name="40% - Accent6 35" xfId="17011"/>
    <cellStyle name="40% - Accent6 35 2" xfId="39786"/>
    <cellStyle name="40% - Accent6 36" xfId="17667"/>
    <cellStyle name="40% - Accent6 36 2" xfId="40442"/>
    <cellStyle name="40% - Accent6 37" xfId="18323"/>
    <cellStyle name="40% - Accent6 37 2" xfId="41098"/>
    <cellStyle name="40% - Accent6 38" xfId="18979"/>
    <cellStyle name="40% - Accent6 38 2" xfId="41754"/>
    <cellStyle name="40% - Accent6 39" xfId="19635"/>
    <cellStyle name="40% - Accent6 39 2" xfId="42410"/>
    <cellStyle name="40% - Accent6 4" xfId="98"/>
    <cellStyle name="40% - Accent6 4 10" xfId="5904"/>
    <cellStyle name="40% - Accent6 4 10 2" xfId="28679"/>
    <cellStyle name="40% - Accent6 4 11" xfId="2296"/>
    <cellStyle name="40% - Accent6 4 11 2" xfId="25071"/>
    <cellStyle name="40% - Accent6 4 12" xfId="6560"/>
    <cellStyle name="40% - Accent6 4 12 2" xfId="29335"/>
    <cellStyle name="40% - Accent6 4 13" xfId="7216"/>
    <cellStyle name="40% - Accent6 4 13 2" xfId="29991"/>
    <cellStyle name="40% - Accent6 4 14" xfId="7872"/>
    <cellStyle name="40% - Accent6 4 14 2" xfId="30647"/>
    <cellStyle name="40% - Accent6 4 15" xfId="8528"/>
    <cellStyle name="40% - Accent6 4 15 2" xfId="31303"/>
    <cellStyle name="40% - Accent6 4 16" xfId="9184"/>
    <cellStyle name="40% - Accent6 4 16 2" xfId="31959"/>
    <cellStyle name="40% - Accent6 4 17" xfId="9840"/>
    <cellStyle name="40% - Accent6 4 17 2" xfId="32615"/>
    <cellStyle name="40% - Accent6 4 18" xfId="10496"/>
    <cellStyle name="40% - Accent6 4 18 2" xfId="33271"/>
    <cellStyle name="40% - Accent6 4 19" xfId="11152"/>
    <cellStyle name="40% - Accent6 4 19 2" xfId="33927"/>
    <cellStyle name="40% - Accent6 4 2" xfId="169"/>
    <cellStyle name="40% - Accent6 4 2 10" xfId="2367"/>
    <cellStyle name="40% - Accent6 4 2 10 2" xfId="25142"/>
    <cellStyle name="40% - Accent6 4 2 11" xfId="6631"/>
    <cellStyle name="40% - Accent6 4 2 11 2" xfId="29406"/>
    <cellStyle name="40% - Accent6 4 2 12" xfId="7287"/>
    <cellStyle name="40% - Accent6 4 2 12 2" xfId="30062"/>
    <cellStyle name="40% - Accent6 4 2 13" xfId="7943"/>
    <cellStyle name="40% - Accent6 4 2 13 2" xfId="30718"/>
    <cellStyle name="40% - Accent6 4 2 14" xfId="8599"/>
    <cellStyle name="40% - Accent6 4 2 14 2" xfId="31374"/>
    <cellStyle name="40% - Accent6 4 2 15" xfId="9255"/>
    <cellStyle name="40% - Accent6 4 2 15 2" xfId="32030"/>
    <cellStyle name="40% - Accent6 4 2 16" xfId="9911"/>
    <cellStyle name="40% - Accent6 4 2 16 2" xfId="32686"/>
    <cellStyle name="40% - Accent6 4 2 17" xfId="10567"/>
    <cellStyle name="40% - Accent6 4 2 17 2" xfId="33342"/>
    <cellStyle name="40% - Accent6 4 2 18" xfId="11223"/>
    <cellStyle name="40% - Accent6 4 2 18 2" xfId="33998"/>
    <cellStyle name="40% - Accent6 4 2 19" xfId="11879"/>
    <cellStyle name="40% - Accent6 4 2 19 2" xfId="34654"/>
    <cellStyle name="40% - Accent6 4 2 2" xfId="583"/>
    <cellStyle name="40% - Accent6 4 2 2 10" xfId="6816"/>
    <cellStyle name="40% - Accent6 4 2 2 10 2" xfId="29591"/>
    <cellStyle name="40% - Accent6 4 2 2 11" xfId="7472"/>
    <cellStyle name="40% - Accent6 4 2 2 11 2" xfId="30247"/>
    <cellStyle name="40% - Accent6 4 2 2 12" xfId="8128"/>
    <cellStyle name="40% - Accent6 4 2 2 12 2" xfId="30903"/>
    <cellStyle name="40% - Accent6 4 2 2 13" xfId="8784"/>
    <cellStyle name="40% - Accent6 4 2 2 13 2" xfId="31559"/>
    <cellStyle name="40% - Accent6 4 2 2 14" xfId="9440"/>
    <cellStyle name="40% - Accent6 4 2 2 14 2" xfId="32215"/>
    <cellStyle name="40% - Accent6 4 2 2 15" xfId="10096"/>
    <cellStyle name="40% - Accent6 4 2 2 15 2" xfId="32871"/>
    <cellStyle name="40% - Accent6 4 2 2 16" xfId="10752"/>
    <cellStyle name="40% - Accent6 4 2 2 16 2" xfId="33527"/>
    <cellStyle name="40% - Accent6 4 2 2 17" xfId="11408"/>
    <cellStyle name="40% - Accent6 4 2 2 17 2" xfId="34183"/>
    <cellStyle name="40% - Accent6 4 2 2 18" xfId="12064"/>
    <cellStyle name="40% - Accent6 4 2 2 18 2" xfId="34839"/>
    <cellStyle name="40% - Accent6 4 2 2 19" xfId="12720"/>
    <cellStyle name="40% - Accent6 4 2 2 19 2" xfId="35495"/>
    <cellStyle name="40% - Accent6 4 2 2 2" xfId="912"/>
    <cellStyle name="40% - Accent6 4 2 2 2 10" xfId="8456"/>
    <cellStyle name="40% - Accent6 4 2 2 2 10 2" xfId="31231"/>
    <cellStyle name="40% - Accent6 4 2 2 2 11" xfId="9112"/>
    <cellStyle name="40% - Accent6 4 2 2 2 11 2" xfId="31887"/>
    <cellStyle name="40% - Accent6 4 2 2 2 12" xfId="9768"/>
    <cellStyle name="40% - Accent6 4 2 2 2 12 2" xfId="32543"/>
    <cellStyle name="40% - Accent6 4 2 2 2 13" xfId="10424"/>
    <cellStyle name="40% - Accent6 4 2 2 2 13 2" xfId="33199"/>
    <cellStyle name="40% - Accent6 4 2 2 2 14" xfId="11080"/>
    <cellStyle name="40% - Accent6 4 2 2 2 14 2" xfId="33855"/>
    <cellStyle name="40% - Accent6 4 2 2 2 15" xfId="11736"/>
    <cellStyle name="40% - Accent6 4 2 2 2 15 2" xfId="34511"/>
    <cellStyle name="40% - Accent6 4 2 2 2 16" xfId="12392"/>
    <cellStyle name="40% - Accent6 4 2 2 2 16 2" xfId="35167"/>
    <cellStyle name="40% - Accent6 4 2 2 2 17" xfId="13048"/>
    <cellStyle name="40% - Accent6 4 2 2 2 17 2" xfId="35823"/>
    <cellStyle name="40% - Accent6 4 2 2 2 18" xfId="13704"/>
    <cellStyle name="40% - Accent6 4 2 2 2 18 2" xfId="36479"/>
    <cellStyle name="40% - Accent6 4 2 2 2 19" xfId="14360"/>
    <cellStyle name="40% - Accent6 4 2 2 2 19 2" xfId="37135"/>
    <cellStyle name="40% - Accent6 4 2 2 2 2" xfId="1568"/>
    <cellStyle name="40% - Accent6 4 2 2 2 2 2" xfId="3864"/>
    <cellStyle name="40% - Accent6 4 2 2 2 2 2 2" xfId="26639"/>
    <cellStyle name="40% - Accent6 4 2 2 2 2 3" xfId="24343"/>
    <cellStyle name="40% - Accent6 4 2 2 2 20" xfId="15016"/>
    <cellStyle name="40% - Accent6 4 2 2 2 20 2" xfId="37791"/>
    <cellStyle name="40% - Accent6 4 2 2 2 21" xfId="15672"/>
    <cellStyle name="40% - Accent6 4 2 2 2 21 2" xfId="38447"/>
    <cellStyle name="40% - Accent6 4 2 2 2 22" xfId="16328"/>
    <cellStyle name="40% - Accent6 4 2 2 2 22 2" xfId="39103"/>
    <cellStyle name="40% - Accent6 4 2 2 2 23" xfId="16984"/>
    <cellStyle name="40% - Accent6 4 2 2 2 23 2" xfId="39759"/>
    <cellStyle name="40% - Accent6 4 2 2 2 24" xfId="17640"/>
    <cellStyle name="40% - Accent6 4 2 2 2 24 2" xfId="40415"/>
    <cellStyle name="40% - Accent6 4 2 2 2 25" xfId="18296"/>
    <cellStyle name="40% - Accent6 4 2 2 2 25 2" xfId="41071"/>
    <cellStyle name="40% - Accent6 4 2 2 2 26" xfId="18952"/>
    <cellStyle name="40% - Accent6 4 2 2 2 26 2" xfId="41727"/>
    <cellStyle name="40% - Accent6 4 2 2 2 27" xfId="19608"/>
    <cellStyle name="40% - Accent6 4 2 2 2 27 2" xfId="42383"/>
    <cellStyle name="40% - Accent6 4 2 2 2 28" xfId="20264"/>
    <cellStyle name="40% - Accent6 4 2 2 2 28 2" xfId="43039"/>
    <cellStyle name="40% - Accent6 4 2 2 2 29" xfId="20920"/>
    <cellStyle name="40% - Accent6 4 2 2 2 29 2" xfId="43695"/>
    <cellStyle name="40% - Accent6 4 2 2 2 3" xfId="2224"/>
    <cellStyle name="40% - Accent6 4 2 2 2 3 2" xfId="4520"/>
    <cellStyle name="40% - Accent6 4 2 2 2 3 2 2" xfId="27295"/>
    <cellStyle name="40% - Accent6 4 2 2 2 3 3" xfId="24999"/>
    <cellStyle name="40% - Accent6 4 2 2 2 30" xfId="21576"/>
    <cellStyle name="40% - Accent6 4 2 2 2 30 2" xfId="44351"/>
    <cellStyle name="40% - Accent6 4 2 2 2 31" xfId="22232"/>
    <cellStyle name="40% - Accent6 4 2 2 2 31 2" xfId="45007"/>
    <cellStyle name="40% - Accent6 4 2 2 2 32" xfId="22888"/>
    <cellStyle name="40% - Accent6 4 2 2 2 32 2" xfId="45663"/>
    <cellStyle name="40% - Accent6 4 2 2 2 33" xfId="23687"/>
    <cellStyle name="40% - Accent6 4 2 2 2 4" xfId="5176"/>
    <cellStyle name="40% - Accent6 4 2 2 2 4 2" xfId="27951"/>
    <cellStyle name="40% - Accent6 4 2 2 2 5" xfId="5832"/>
    <cellStyle name="40% - Accent6 4 2 2 2 5 2" xfId="28607"/>
    <cellStyle name="40% - Accent6 4 2 2 2 6" xfId="6488"/>
    <cellStyle name="40% - Accent6 4 2 2 2 6 2" xfId="29263"/>
    <cellStyle name="40% - Accent6 4 2 2 2 7" xfId="3208"/>
    <cellStyle name="40% - Accent6 4 2 2 2 7 2" xfId="25983"/>
    <cellStyle name="40% - Accent6 4 2 2 2 8" xfId="7144"/>
    <cellStyle name="40% - Accent6 4 2 2 2 8 2" xfId="29919"/>
    <cellStyle name="40% - Accent6 4 2 2 2 9" xfId="7800"/>
    <cellStyle name="40% - Accent6 4 2 2 2 9 2" xfId="30575"/>
    <cellStyle name="40% - Accent6 4 2 2 20" xfId="13376"/>
    <cellStyle name="40% - Accent6 4 2 2 20 2" xfId="36151"/>
    <cellStyle name="40% - Accent6 4 2 2 21" xfId="14032"/>
    <cellStyle name="40% - Accent6 4 2 2 21 2" xfId="36807"/>
    <cellStyle name="40% - Accent6 4 2 2 22" xfId="14688"/>
    <cellStyle name="40% - Accent6 4 2 2 22 2" xfId="37463"/>
    <cellStyle name="40% - Accent6 4 2 2 23" xfId="15344"/>
    <cellStyle name="40% - Accent6 4 2 2 23 2" xfId="38119"/>
    <cellStyle name="40% - Accent6 4 2 2 24" xfId="16000"/>
    <cellStyle name="40% - Accent6 4 2 2 24 2" xfId="38775"/>
    <cellStyle name="40% - Accent6 4 2 2 25" xfId="16656"/>
    <cellStyle name="40% - Accent6 4 2 2 25 2" xfId="39431"/>
    <cellStyle name="40% - Accent6 4 2 2 26" xfId="17312"/>
    <cellStyle name="40% - Accent6 4 2 2 26 2" xfId="40087"/>
    <cellStyle name="40% - Accent6 4 2 2 27" xfId="17968"/>
    <cellStyle name="40% - Accent6 4 2 2 27 2" xfId="40743"/>
    <cellStyle name="40% - Accent6 4 2 2 28" xfId="18624"/>
    <cellStyle name="40% - Accent6 4 2 2 28 2" xfId="41399"/>
    <cellStyle name="40% - Accent6 4 2 2 29" xfId="19280"/>
    <cellStyle name="40% - Accent6 4 2 2 29 2" xfId="42055"/>
    <cellStyle name="40% - Accent6 4 2 2 3" xfId="1240"/>
    <cellStyle name="40% - Accent6 4 2 2 3 2" xfId="2880"/>
    <cellStyle name="40% - Accent6 4 2 2 3 2 2" xfId="25655"/>
    <cellStyle name="40% - Accent6 4 2 2 3 3" xfId="24015"/>
    <cellStyle name="40% - Accent6 4 2 2 30" xfId="19936"/>
    <cellStyle name="40% - Accent6 4 2 2 30 2" xfId="42711"/>
    <cellStyle name="40% - Accent6 4 2 2 31" xfId="20592"/>
    <cellStyle name="40% - Accent6 4 2 2 31 2" xfId="43367"/>
    <cellStyle name="40% - Accent6 4 2 2 32" xfId="21248"/>
    <cellStyle name="40% - Accent6 4 2 2 32 2" xfId="44023"/>
    <cellStyle name="40% - Accent6 4 2 2 33" xfId="21904"/>
    <cellStyle name="40% - Accent6 4 2 2 33 2" xfId="44679"/>
    <cellStyle name="40% - Accent6 4 2 2 34" xfId="22560"/>
    <cellStyle name="40% - Accent6 4 2 2 34 2" xfId="45335"/>
    <cellStyle name="40% - Accent6 4 2 2 35" xfId="23359"/>
    <cellStyle name="40% - Accent6 4 2 2 4" xfId="1896"/>
    <cellStyle name="40% - Accent6 4 2 2 4 2" xfId="3536"/>
    <cellStyle name="40% - Accent6 4 2 2 4 2 2" xfId="26311"/>
    <cellStyle name="40% - Accent6 4 2 2 4 3" xfId="24671"/>
    <cellStyle name="40% - Accent6 4 2 2 5" xfId="4192"/>
    <cellStyle name="40% - Accent6 4 2 2 5 2" xfId="26967"/>
    <cellStyle name="40% - Accent6 4 2 2 6" xfId="4848"/>
    <cellStyle name="40% - Accent6 4 2 2 6 2" xfId="27623"/>
    <cellStyle name="40% - Accent6 4 2 2 7" xfId="5504"/>
    <cellStyle name="40% - Accent6 4 2 2 7 2" xfId="28279"/>
    <cellStyle name="40% - Accent6 4 2 2 8" xfId="6160"/>
    <cellStyle name="40% - Accent6 4 2 2 8 2" xfId="28935"/>
    <cellStyle name="40% - Accent6 4 2 2 9" xfId="2552"/>
    <cellStyle name="40% - Accent6 4 2 2 9 2" xfId="25327"/>
    <cellStyle name="40% - Accent6 4 2 20" xfId="12535"/>
    <cellStyle name="40% - Accent6 4 2 20 2" xfId="35310"/>
    <cellStyle name="40% - Accent6 4 2 21" xfId="13191"/>
    <cellStyle name="40% - Accent6 4 2 21 2" xfId="35966"/>
    <cellStyle name="40% - Accent6 4 2 22" xfId="13847"/>
    <cellStyle name="40% - Accent6 4 2 22 2" xfId="36622"/>
    <cellStyle name="40% - Accent6 4 2 23" xfId="14503"/>
    <cellStyle name="40% - Accent6 4 2 23 2" xfId="37278"/>
    <cellStyle name="40% - Accent6 4 2 24" xfId="15159"/>
    <cellStyle name="40% - Accent6 4 2 24 2" xfId="37934"/>
    <cellStyle name="40% - Accent6 4 2 25" xfId="15815"/>
    <cellStyle name="40% - Accent6 4 2 25 2" xfId="38590"/>
    <cellStyle name="40% - Accent6 4 2 26" xfId="16471"/>
    <cellStyle name="40% - Accent6 4 2 26 2" xfId="39246"/>
    <cellStyle name="40% - Accent6 4 2 27" xfId="17127"/>
    <cellStyle name="40% - Accent6 4 2 27 2" xfId="39902"/>
    <cellStyle name="40% - Accent6 4 2 28" xfId="17783"/>
    <cellStyle name="40% - Accent6 4 2 28 2" xfId="40558"/>
    <cellStyle name="40% - Accent6 4 2 29" xfId="18439"/>
    <cellStyle name="40% - Accent6 4 2 29 2" xfId="41214"/>
    <cellStyle name="40% - Accent6 4 2 3" xfId="727"/>
    <cellStyle name="40% - Accent6 4 2 3 10" xfId="8271"/>
    <cellStyle name="40% - Accent6 4 2 3 10 2" xfId="31046"/>
    <cellStyle name="40% - Accent6 4 2 3 11" xfId="8927"/>
    <cellStyle name="40% - Accent6 4 2 3 11 2" xfId="31702"/>
    <cellStyle name="40% - Accent6 4 2 3 12" xfId="9583"/>
    <cellStyle name="40% - Accent6 4 2 3 12 2" xfId="32358"/>
    <cellStyle name="40% - Accent6 4 2 3 13" xfId="10239"/>
    <cellStyle name="40% - Accent6 4 2 3 13 2" xfId="33014"/>
    <cellStyle name="40% - Accent6 4 2 3 14" xfId="10895"/>
    <cellStyle name="40% - Accent6 4 2 3 14 2" xfId="33670"/>
    <cellStyle name="40% - Accent6 4 2 3 15" xfId="11551"/>
    <cellStyle name="40% - Accent6 4 2 3 15 2" xfId="34326"/>
    <cellStyle name="40% - Accent6 4 2 3 16" xfId="12207"/>
    <cellStyle name="40% - Accent6 4 2 3 16 2" xfId="34982"/>
    <cellStyle name="40% - Accent6 4 2 3 17" xfId="12863"/>
    <cellStyle name="40% - Accent6 4 2 3 17 2" xfId="35638"/>
    <cellStyle name="40% - Accent6 4 2 3 18" xfId="13519"/>
    <cellStyle name="40% - Accent6 4 2 3 18 2" xfId="36294"/>
    <cellStyle name="40% - Accent6 4 2 3 19" xfId="14175"/>
    <cellStyle name="40% - Accent6 4 2 3 19 2" xfId="36950"/>
    <cellStyle name="40% - Accent6 4 2 3 2" xfId="1383"/>
    <cellStyle name="40% - Accent6 4 2 3 2 2" xfId="3679"/>
    <cellStyle name="40% - Accent6 4 2 3 2 2 2" xfId="26454"/>
    <cellStyle name="40% - Accent6 4 2 3 2 3" xfId="24158"/>
    <cellStyle name="40% - Accent6 4 2 3 20" xfId="14831"/>
    <cellStyle name="40% - Accent6 4 2 3 20 2" xfId="37606"/>
    <cellStyle name="40% - Accent6 4 2 3 21" xfId="15487"/>
    <cellStyle name="40% - Accent6 4 2 3 21 2" xfId="38262"/>
    <cellStyle name="40% - Accent6 4 2 3 22" xfId="16143"/>
    <cellStyle name="40% - Accent6 4 2 3 22 2" xfId="38918"/>
    <cellStyle name="40% - Accent6 4 2 3 23" xfId="16799"/>
    <cellStyle name="40% - Accent6 4 2 3 23 2" xfId="39574"/>
    <cellStyle name="40% - Accent6 4 2 3 24" xfId="17455"/>
    <cellStyle name="40% - Accent6 4 2 3 24 2" xfId="40230"/>
    <cellStyle name="40% - Accent6 4 2 3 25" xfId="18111"/>
    <cellStyle name="40% - Accent6 4 2 3 25 2" xfId="40886"/>
    <cellStyle name="40% - Accent6 4 2 3 26" xfId="18767"/>
    <cellStyle name="40% - Accent6 4 2 3 26 2" xfId="41542"/>
    <cellStyle name="40% - Accent6 4 2 3 27" xfId="19423"/>
    <cellStyle name="40% - Accent6 4 2 3 27 2" xfId="42198"/>
    <cellStyle name="40% - Accent6 4 2 3 28" xfId="20079"/>
    <cellStyle name="40% - Accent6 4 2 3 28 2" xfId="42854"/>
    <cellStyle name="40% - Accent6 4 2 3 29" xfId="20735"/>
    <cellStyle name="40% - Accent6 4 2 3 29 2" xfId="43510"/>
    <cellStyle name="40% - Accent6 4 2 3 3" xfId="2039"/>
    <cellStyle name="40% - Accent6 4 2 3 3 2" xfId="4335"/>
    <cellStyle name="40% - Accent6 4 2 3 3 2 2" xfId="27110"/>
    <cellStyle name="40% - Accent6 4 2 3 3 3" xfId="24814"/>
    <cellStyle name="40% - Accent6 4 2 3 30" xfId="21391"/>
    <cellStyle name="40% - Accent6 4 2 3 30 2" xfId="44166"/>
    <cellStyle name="40% - Accent6 4 2 3 31" xfId="22047"/>
    <cellStyle name="40% - Accent6 4 2 3 31 2" xfId="44822"/>
    <cellStyle name="40% - Accent6 4 2 3 32" xfId="22703"/>
    <cellStyle name="40% - Accent6 4 2 3 32 2" xfId="45478"/>
    <cellStyle name="40% - Accent6 4 2 3 33" xfId="23502"/>
    <cellStyle name="40% - Accent6 4 2 3 4" xfId="4991"/>
    <cellStyle name="40% - Accent6 4 2 3 4 2" xfId="27766"/>
    <cellStyle name="40% - Accent6 4 2 3 5" xfId="5647"/>
    <cellStyle name="40% - Accent6 4 2 3 5 2" xfId="28422"/>
    <cellStyle name="40% - Accent6 4 2 3 6" xfId="6303"/>
    <cellStyle name="40% - Accent6 4 2 3 6 2" xfId="29078"/>
    <cellStyle name="40% - Accent6 4 2 3 7" xfId="3023"/>
    <cellStyle name="40% - Accent6 4 2 3 7 2" xfId="25798"/>
    <cellStyle name="40% - Accent6 4 2 3 8" xfId="6959"/>
    <cellStyle name="40% - Accent6 4 2 3 8 2" xfId="29734"/>
    <cellStyle name="40% - Accent6 4 2 3 9" xfId="7615"/>
    <cellStyle name="40% - Accent6 4 2 3 9 2" xfId="30390"/>
    <cellStyle name="40% - Accent6 4 2 30" xfId="19095"/>
    <cellStyle name="40% - Accent6 4 2 30 2" xfId="41870"/>
    <cellStyle name="40% - Accent6 4 2 31" xfId="19751"/>
    <cellStyle name="40% - Accent6 4 2 31 2" xfId="42526"/>
    <cellStyle name="40% - Accent6 4 2 32" xfId="20407"/>
    <cellStyle name="40% - Accent6 4 2 32 2" xfId="43182"/>
    <cellStyle name="40% - Accent6 4 2 33" xfId="21063"/>
    <cellStyle name="40% - Accent6 4 2 33 2" xfId="43838"/>
    <cellStyle name="40% - Accent6 4 2 34" xfId="21719"/>
    <cellStyle name="40% - Accent6 4 2 34 2" xfId="44494"/>
    <cellStyle name="40% - Accent6 4 2 35" xfId="22375"/>
    <cellStyle name="40% - Accent6 4 2 35 2" xfId="45150"/>
    <cellStyle name="40% - Accent6 4 2 36" xfId="23031"/>
    <cellStyle name="40% - Accent6 4 2 4" xfId="400"/>
    <cellStyle name="40% - Accent6 4 2 4 2" xfId="2695"/>
    <cellStyle name="40% - Accent6 4 2 4 2 2" xfId="25470"/>
    <cellStyle name="40% - Accent6 4 2 4 3" xfId="23174"/>
    <cellStyle name="40% - Accent6 4 2 5" xfId="1055"/>
    <cellStyle name="40% - Accent6 4 2 5 2" xfId="3351"/>
    <cellStyle name="40% - Accent6 4 2 5 2 2" xfId="26126"/>
    <cellStyle name="40% - Accent6 4 2 5 3" xfId="23830"/>
    <cellStyle name="40% - Accent6 4 2 6" xfId="1711"/>
    <cellStyle name="40% - Accent6 4 2 6 2" xfId="4007"/>
    <cellStyle name="40% - Accent6 4 2 6 2 2" xfId="26782"/>
    <cellStyle name="40% - Accent6 4 2 6 3" xfId="24486"/>
    <cellStyle name="40% - Accent6 4 2 7" xfId="4663"/>
    <cellStyle name="40% - Accent6 4 2 7 2" xfId="27438"/>
    <cellStyle name="40% - Accent6 4 2 8" xfId="5319"/>
    <cellStyle name="40% - Accent6 4 2 8 2" xfId="28094"/>
    <cellStyle name="40% - Accent6 4 2 9" xfId="5975"/>
    <cellStyle name="40% - Accent6 4 2 9 2" xfId="28750"/>
    <cellStyle name="40% - Accent6 4 20" xfId="11808"/>
    <cellStyle name="40% - Accent6 4 20 2" xfId="34583"/>
    <cellStyle name="40% - Accent6 4 21" xfId="12464"/>
    <cellStyle name="40% - Accent6 4 21 2" xfId="35239"/>
    <cellStyle name="40% - Accent6 4 22" xfId="13120"/>
    <cellStyle name="40% - Accent6 4 22 2" xfId="35895"/>
    <cellStyle name="40% - Accent6 4 23" xfId="13776"/>
    <cellStyle name="40% - Accent6 4 23 2" xfId="36551"/>
    <cellStyle name="40% - Accent6 4 24" xfId="14432"/>
    <cellStyle name="40% - Accent6 4 24 2" xfId="37207"/>
    <cellStyle name="40% - Accent6 4 25" xfId="15088"/>
    <cellStyle name="40% - Accent6 4 25 2" xfId="37863"/>
    <cellStyle name="40% - Accent6 4 26" xfId="15744"/>
    <cellStyle name="40% - Accent6 4 26 2" xfId="38519"/>
    <cellStyle name="40% - Accent6 4 27" xfId="16400"/>
    <cellStyle name="40% - Accent6 4 27 2" xfId="39175"/>
    <cellStyle name="40% - Accent6 4 28" xfId="17056"/>
    <cellStyle name="40% - Accent6 4 28 2" xfId="39831"/>
    <cellStyle name="40% - Accent6 4 29" xfId="17712"/>
    <cellStyle name="40% - Accent6 4 29 2" xfId="40487"/>
    <cellStyle name="40% - Accent6 4 3" xfId="513"/>
    <cellStyle name="40% - Accent6 4 3 10" xfId="6745"/>
    <cellStyle name="40% - Accent6 4 3 10 2" xfId="29520"/>
    <cellStyle name="40% - Accent6 4 3 11" xfId="7401"/>
    <cellStyle name="40% - Accent6 4 3 11 2" xfId="30176"/>
    <cellStyle name="40% - Accent6 4 3 12" xfId="8057"/>
    <cellStyle name="40% - Accent6 4 3 12 2" xfId="30832"/>
    <cellStyle name="40% - Accent6 4 3 13" xfId="8713"/>
    <cellStyle name="40% - Accent6 4 3 13 2" xfId="31488"/>
    <cellStyle name="40% - Accent6 4 3 14" xfId="9369"/>
    <cellStyle name="40% - Accent6 4 3 14 2" xfId="32144"/>
    <cellStyle name="40% - Accent6 4 3 15" xfId="10025"/>
    <cellStyle name="40% - Accent6 4 3 15 2" xfId="32800"/>
    <cellStyle name="40% - Accent6 4 3 16" xfId="10681"/>
    <cellStyle name="40% - Accent6 4 3 16 2" xfId="33456"/>
    <cellStyle name="40% - Accent6 4 3 17" xfId="11337"/>
    <cellStyle name="40% - Accent6 4 3 17 2" xfId="34112"/>
    <cellStyle name="40% - Accent6 4 3 18" xfId="11993"/>
    <cellStyle name="40% - Accent6 4 3 18 2" xfId="34768"/>
    <cellStyle name="40% - Accent6 4 3 19" xfId="12649"/>
    <cellStyle name="40% - Accent6 4 3 19 2" xfId="35424"/>
    <cellStyle name="40% - Accent6 4 3 2" xfId="841"/>
    <cellStyle name="40% - Accent6 4 3 2 10" xfId="8385"/>
    <cellStyle name="40% - Accent6 4 3 2 10 2" xfId="31160"/>
    <cellStyle name="40% - Accent6 4 3 2 11" xfId="9041"/>
    <cellStyle name="40% - Accent6 4 3 2 11 2" xfId="31816"/>
    <cellStyle name="40% - Accent6 4 3 2 12" xfId="9697"/>
    <cellStyle name="40% - Accent6 4 3 2 12 2" xfId="32472"/>
    <cellStyle name="40% - Accent6 4 3 2 13" xfId="10353"/>
    <cellStyle name="40% - Accent6 4 3 2 13 2" xfId="33128"/>
    <cellStyle name="40% - Accent6 4 3 2 14" xfId="11009"/>
    <cellStyle name="40% - Accent6 4 3 2 14 2" xfId="33784"/>
    <cellStyle name="40% - Accent6 4 3 2 15" xfId="11665"/>
    <cellStyle name="40% - Accent6 4 3 2 15 2" xfId="34440"/>
    <cellStyle name="40% - Accent6 4 3 2 16" xfId="12321"/>
    <cellStyle name="40% - Accent6 4 3 2 16 2" xfId="35096"/>
    <cellStyle name="40% - Accent6 4 3 2 17" xfId="12977"/>
    <cellStyle name="40% - Accent6 4 3 2 17 2" xfId="35752"/>
    <cellStyle name="40% - Accent6 4 3 2 18" xfId="13633"/>
    <cellStyle name="40% - Accent6 4 3 2 18 2" xfId="36408"/>
    <cellStyle name="40% - Accent6 4 3 2 19" xfId="14289"/>
    <cellStyle name="40% - Accent6 4 3 2 19 2" xfId="37064"/>
    <cellStyle name="40% - Accent6 4 3 2 2" xfId="1497"/>
    <cellStyle name="40% - Accent6 4 3 2 2 2" xfId="3793"/>
    <cellStyle name="40% - Accent6 4 3 2 2 2 2" xfId="26568"/>
    <cellStyle name="40% - Accent6 4 3 2 2 3" xfId="24272"/>
    <cellStyle name="40% - Accent6 4 3 2 20" xfId="14945"/>
    <cellStyle name="40% - Accent6 4 3 2 20 2" xfId="37720"/>
    <cellStyle name="40% - Accent6 4 3 2 21" xfId="15601"/>
    <cellStyle name="40% - Accent6 4 3 2 21 2" xfId="38376"/>
    <cellStyle name="40% - Accent6 4 3 2 22" xfId="16257"/>
    <cellStyle name="40% - Accent6 4 3 2 22 2" xfId="39032"/>
    <cellStyle name="40% - Accent6 4 3 2 23" xfId="16913"/>
    <cellStyle name="40% - Accent6 4 3 2 23 2" xfId="39688"/>
    <cellStyle name="40% - Accent6 4 3 2 24" xfId="17569"/>
    <cellStyle name="40% - Accent6 4 3 2 24 2" xfId="40344"/>
    <cellStyle name="40% - Accent6 4 3 2 25" xfId="18225"/>
    <cellStyle name="40% - Accent6 4 3 2 25 2" xfId="41000"/>
    <cellStyle name="40% - Accent6 4 3 2 26" xfId="18881"/>
    <cellStyle name="40% - Accent6 4 3 2 26 2" xfId="41656"/>
    <cellStyle name="40% - Accent6 4 3 2 27" xfId="19537"/>
    <cellStyle name="40% - Accent6 4 3 2 27 2" xfId="42312"/>
    <cellStyle name="40% - Accent6 4 3 2 28" xfId="20193"/>
    <cellStyle name="40% - Accent6 4 3 2 28 2" xfId="42968"/>
    <cellStyle name="40% - Accent6 4 3 2 29" xfId="20849"/>
    <cellStyle name="40% - Accent6 4 3 2 29 2" xfId="43624"/>
    <cellStyle name="40% - Accent6 4 3 2 3" xfId="2153"/>
    <cellStyle name="40% - Accent6 4 3 2 3 2" xfId="4449"/>
    <cellStyle name="40% - Accent6 4 3 2 3 2 2" xfId="27224"/>
    <cellStyle name="40% - Accent6 4 3 2 3 3" xfId="24928"/>
    <cellStyle name="40% - Accent6 4 3 2 30" xfId="21505"/>
    <cellStyle name="40% - Accent6 4 3 2 30 2" xfId="44280"/>
    <cellStyle name="40% - Accent6 4 3 2 31" xfId="22161"/>
    <cellStyle name="40% - Accent6 4 3 2 31 2" xfId="44936"/>
    <cellStyle name="40% - Accent6 4 3 2 32" xfId="22817"/>
    <cellStyle name="40% - Accent6 4 3 2 32 2" xfId="45592"/>
    <cellStyle name="40% - Accent6 4 3 2 33" xfId="23616"/>
    <cellStyle name="40% - Accent6 4 3 2 4" xfId="5105"/>
    <cellStyle name="40% - Accent6 4 3 2 4 2" xfId="27880"/>
    <cellStyle name="40% - Accent6 4 3 2 5" xfId="5761"/>
    <cellStyle name="40% - Accent6 4 3 2 5 2" xfId="28536"/>
    <cellStyle name="40% - Accent6 4 3 2 6" xfId="6417"/>
    <cellStyle name="40% - Accent6 4 3 2 6 2" xfId="29192"/>
    <cellStyle name="40% - Accent6 4 3 2 7" xfId="3137"/>
    <cellStyle name="40% - Accent6 4 3 2 7 2" xfId="25912"/>
    <cellStyle name="40% - Accent6 4 3 2 8" xfId="7073"/>
    <cellStyle name="40% - Accent6 4 3 2 8 2" xfId="29848"/>
    <cellStyle name="40% - Accent6 4 3 2 9" xfId="7729"/>
    <cellStyle name="40% - Accent6 4 3 2 9 2" xfId="30504"/>
    <cellStyle name="40% - Accent6 4 3 20" xfId="13305"/>
    <cellStyle name="40% - Accent6 4 3 20 2" xfId="36080"/>
    <cellStyle name="40% - Accent6 4 3 21" xfId="13961"/>
    <cellStyle name="40% - Accent6 4 3 21 2" xfId="36736"/>
    <cellStyle name="40% - Accent6 4 3 22" xfId="14617"/>
    <cellStyle name="40% - Accent6 4 3 22 2" xfId="37392"/>
    <cellStyle name="40% - Accent6 4 3 23" xfId="15273"/>
    <cellStyle name="40% - Accent6 4 3 23 2" xfId="38048"/>
    <cellStyle name="40% - Accent6 4 3 24" xfId="15929"/>
    <cellStyle name="40% - Accent6 4 3 24 2" xfId="38704"/>
    <cellStyle name="40% - Accent6 4 3 25" xfId="16585"/>
    <cellStyle name="40% - Accent6 4 3 25 2" xfId="39360"/>
    <cellStyle name="40% - Accent6 4 3 26" xfId="17241"/>
    <cellStyle name="40% - Accent6 4 3 26 2" xfId="40016"/>
    <cellStyle name="40% - Accent6 4 3 27" xfId="17897"/>
    <cellStyle name="40% - Accent6 4 3 27 2" xfId="40672"/>
    <cellStyle name="40% - Accent6 4 3 28" xfId="18553"/>
    <cellStyle name="40% - Accent6 4 3 28 2" xfId="41328"/>
    <cellStyle name="40% - Accent6 4 3 29" xfId="19209"/>
    <cellStyle name="40% - Accent6 4 3 29 2" xfId="41984"/>
    <cellStyle name="40% - Accent6 4 3 3" xfId="1169"/>
    <cellStyle name="40% - Accent6 4 3 3 2" xfId="2809"/>
    <cellStyle name="40% - Accent6 4 3 3 2 2" xfId="25584"/>
    <cellStyle name="40% - Accent6 4 3 3 3" xfId="23944"/>
    <cellStyle name="40% - Accent6 4 3 30" xfId="19865"/>
    <cellStyle name="40% - Accent6 4 3 30 2" xfId="42640"/>
    <cellStyle name="40% - Accent6 4 3 31" xfId="20521"/>
    <cellStyle name="40% - Accent6 4 3 31 2" xfId="43296"/>
    <cellStyle name="40% - Accent6 4 3 32" xfId="21177"/>
    <cellStyle name="40% - Accent6 4 3 32 2" xfId="43952"/>
    <cellStyle name="40% - Accent6 4 3 33" xfId="21833"/>
    <cellStyle name="40% - Accent6 4 3 33 2" xfId="44608"/>
    <cellStyle name="40% - Accent6 4 3 34" xfId="22489"/>
    <cellStyle name="40% - Accent6 4 3 34 2" xfId="45264"/>
    <cellStyle name="40% - Accent6 4 3 35" xfId="23288"/>
    <cellStyle name="40% - Accent6 4 3 4" xfId="1825"/>
    <cellStyle name="40% - Accent6 4 3 4 2" xfId="3465"/>
    <cellStyle name="40% - Accent6 4 3 4 2 2" xfId="26240"/>
    <cellStyle name="40% - Accent6 4 3 4 3" xfId="24600"/>
    <cellStyle name="40% - Accent6 4 3 5" xfId="4121"/>
    <cellStyle name="40% - Accent6 4 3 5 2" xfId="26896"/>
    <cellStyle name="40% - Accent6 4 3 6" xfId="4777"/>
    <cellStyle name="40% - Accent6 4 3 6 2" xfId="27552"/>
    <cellStyle name="40% - Accent6 4 3 7" xfId="5433"/>
    <cellStyle name="40% - Accent6 4 3 7 2" xfId="28208"/>
    <cellStyle name="40% - Accent6 4 3 8" xfId="6089"/>
    <cellStyle name="40% - Accent6 4 3 8 2" xfId="28864"/>
    <cellStyle name="40% - Accent6 4 3 9" xfId="2481"/>
    <cellStyle name="40% - Accent6 4 3 9 2" xfId="25256"/>
    <cellStyle name="40% - Accent6 4 30" xfId="18368"/>
    <cellStyle name="40% - Accent6 4 30 2" xfId="41143"/>
    <cellStyle name="40% - Accent6 4 31" xfId="19024"/>
    <cellStyle name="40% - Accent6 4 31 2" xfId="41799"/>
    <cellStyle name="40% - Accent6 4 32" xfId="19680"/>
    <cellStyle name="40% - Accent6 4 32 2" xfId="42455"/>
    <cellStyle name="40% - Accent6 4 33" xfId="20336"/>
    <cellStyle name="40% - Accent6 4 33 2" xfId="43111"/>
    <cellStyle name="40% - Accent6 4 34" xfId="20992"/>
    <cellStyle name="40% - Accent6 4 34 2" xfId="43767"/>
    <cellStyle name="40% - Accent6 4 35" xfId="21648"/>
    <cellStyle name="40% - Accent6 4 35 2" xfId="44423"/>
    <cellStyle name="40% - Accent6 4 36" xfId="22304"/>
    <cellStyle name="40% - Accent6 4 36 2" xfId="45079"/>
    <cellStyle name="40% - Accent6 4 37" xfId="243"/>
    <cellStyle name="40% - Accent6 4 38" xfId="22960"/>
    <cellStyle name="40% - Accent6 4 4" xfId="656"/>
    <cellStyle name="40% - Accent6 4 4 10" xfId="8200"/>
    <cellStyle name="40% - Accent6 4 4 10 2" xfId="30975"/>
    <cellStyle name="40% - Accent6 4 4 11" xfId="8856"/>
    <cellStyle name="40% - Accent6 4 4 11 2" xfId="31631"/>
    <cellStyle name="40% - Accent6 4 4 12" xfId="9512"/>
    <cellStyle name="40% - Accent6 4 4 12 2" xfId="32287"/>
    <cellStyle name="40% - Accent6 4 4 13" xfId="10168"/>
    <cellStyle name="40% - Accent6 4 4 13 2" xfId="32943"/>
    <cellStyle name="40% - Accent6 4 4 14" xfId="10824"/>
    <cellStyle name="40% - Accent6 4 4 14 2" xfId="33599"/>
    <cellStyle name="40% - Accent6 4 4 15" xfId="11480"/>
    <cellStyle name="40% - Accent6 4 4 15 2" xfId="34255"/>
    <cellStyle name="40% - Accent6 4 4 16" xfId="12136"/>
    <cellStyle name="40% - Accent6 4 4 16 2" xfId="34911"/>
    <cellStyle name="40% - Accent6 4 4 17" xfId="12792"/>
    <cellStyle name="40% - Accent6 4 4 17 2" xfId="35567"/>
    <cellStyle name="40% - Accent6 4 4 18" xfId="13448"/>
    <cellStyle name="40% - Accent6 4 4 18 2" xfId="36223"/>
    <cellStyle name="40% - Accent6 4 4 19" xfId="14104"/>
    <cellStyle name="40% - Accent6 4 4 19 2" xfId="36879"/>
    <cellStyle name="40% - Accent6 4 4 2" xfId="1312"/>
    <cellStyle name="40% - Accent6 4 4 2 2" xfId="3608"/>
    <cellStyle name="40% - Accent6 4 4 2 2 2" xfId="26383"/>
    <cellStyle name="40% - Accent6 4 4 2 3" xfId="24087"/>
    <cellStyle name="40% - Accent6 4 4 20" xfId="14760"/>
    <cellStyle name="40% - Accent6 4 4 20 2" xfId="37535"/>
    <cellStyle name="40% - Accent6 4 4 21" xfId="15416"/>
    <cellStyle name="40% - Accent6 4 4 21 2" xfId="38191"/>
    <cellStyle name="40% - Accent6 4 4 22" xfId="16072"/>
    <cellStyle name="40% - Accent6 4 4 22 2" xfId="38847"/>
    <cellStyle name="40% - Accent6 4 4 23" xfId="16728"/>
    <cellStyle name="40% - Accent6 4 4 23 2" xfId="39503"/>
    <cellStyle name="40% - Accent6 4 4 24" xfId="17384"/>
    <cellStyle name="40% - Accent6 4 4 24 2" xfId="40159"/>
    <cellStyle name="40% - Accent6 4 4 25" xfId="18040"/>
    <cellStyle name="40% - Accent6 4 4 25 2" xfId="40815"/>
    <cellStyle name="40% - Accent6 4 4 26" xfId="18696"/>
    <cellStyle name="40% - Accent6 4 4 26 2" xfId="41471"/>
    <cellStyle name="40% - Accent6 4 4 27" xfId="19352"/>
    <cellStyle name="40% - Accent6 4 4 27 2" xfId="42127"/>
    <cellStyle name="40% - Accent6 4 4 28" xfId="20008"/>
    <cellStyle name="40% - Accent6 4 4 28 2" xfId="42783"/>
    <cellStyle name="40% - Accent6 4 4 29" xfId="20664"/>
    <cellStyle name="40% - Accent6 4 4 29 2" xfId="43439"/>
    <cellStyle name="40% - Accent6 4 4 3" xfId="1968"/>
    <cellStyle name="40% - Accent6 4 4 3 2" xfId="4264"/>
    <cellStyle name="40% - Accent6 4 4 3 2 2" xfId="27039"/>
    <cellStyle name="40% - Accent6 4 4 3 3" xfId="24743"/>
    <cellStyle name="40% - Accent6 4 4 30" xfId="21320"/>
    <cellStyle name="40% - Accent6 4 4 30 2" xfId="44095"/>
    <cellStyle name="40% - Accent6 4 4 31" xfId="21976"/>
    <cellStyle name="40% - Accent6 4 4 31 2" xfId="44751"/>
    <cellStyle name="40% - Accent6 4 4 32" xfId="22632"/>
    <cellStyle name="40% - Accent6 4 4 32 2" xfId="45407"/>
    <cellStyle name="40% - Accent6 4 4 33" xfId="23431"/>
    <cellStyle name="40% - Accent6 4 4 4" xfId="4920"/>
    <cellStyle name="40% - Accent6 4 4 4 2" xfId="27695"/>
    <cellStyle name="40% - Accent6 4 4 5" xfId="5576"/>
    <cellStyle name="40% - Accent6 4 4 5 2" xfId="28351"/>
    <cellStyle name="40% - Accent6 4 4 6" xfId="6232"/>
    <cellStyle name="40% - Accent6 4 4 6 2" xfId="29007"/>
    <cellStyle name="40% - Accent6 4 4 7" xfId="2952"/>
    <cellStyle name="40% - Accent6 4 4 7 2" xfId="25727"/>
    <cellStyle name="40% - Accent6 4 4 8" xfId="6888"/>
    <cellStyle name="40% - Accent6 4 4 8 2" xfId="29663"/>
    <cellStyle name="40% - Accent6 4 4 9" xfId="7544"/>
    <cellStyle name="40% - Accent6 4 4 9 2" xfId="30319"/>
    <cellStyle name="40% - Accent6 4 5" xfId="329"/>
    <cellStyle name="40% - Accent6 4 5 2" xfId="2624"/>
    <cellStyle name="40% - Accent6 4 5 2 2" xfId="25399"/>
    <cellStyle name="40% - Accent6 4 5 3" xfId="23103"/>
    <cellStyle name="40% - Accent6 4 6" xfId="984"/>
    <cellStyle name="40% - Accent6 4 6 2" xfId="3280"/>
    <cellStyle name="40% - Accent6 4 6 2 2" xfId="26055"/>
    <cellStyle name="40% - Accent6 4 6 3" xfId="23759"/>
    <cellStyle name="40% - Accent6 4 7" xfId="1640"/>
    <cellStyle name="40% - Accent6 4 7 2" xfId="3936"/>
    <cellStyle name="40% - Accent6 4 7 2 2" xfId="26711"/>
    <cellStyle name="40% - Accent6 4 7 3" xfId="24415"/>
    <cellStyle name="40% - Accent6 4 8" xfId="4592"/>
    <cellStyle name="40% - Accent6 4 8 2" xfId="27367"/>
    <cellStyle name="40% - Accent6 4 9" xfId="5248"/>
    <cellStyle name="40% - Accent6 4 9 2" xfId="28023"/>
    <cellStyle name="40% - Accent6 40" xfId="20291"/>
    <cellStyle name="40% - Accent6 40 2" xfId="43066"/>
    <cellStyle name="40% - Accent6 41" xfId="20947"/>
    <cellStyle name="40% - Accent6 41 2" xfId="43722"/>
    <cellStyle name="40% - Accent6 42" xfId="21603"/>
    <cellStyle name="40% - Accent6 42 2" xfId="44378"/>
    <cellStyle name="40% - Accent6 43" xfId="22259"/>
    <cellStyle name="40% - Accent6 43 2" xfId="45034"/>
    <cellStyle name="40% - Accent6 44" xfId="198"/>
    <cellStyle name="40% - Accent6 45" xfId="22915"/>
    <cellStyle name="40% - Accent6 5" xfId="112"/>
    <cellStyle name="40% - Accent6 5 10" xfId="5918"/>
    <cellStyle name="40% - Accent6 5 10 2" xfId="28693"/>
    <cellStyle name="40% - Accent6 5 11" xfId="2310"/>
    <cellStyle name="40% - Accent6 5 11 2" xfId="25085"/>
    <cellStyle name="40% - Accent6 5 12" xfId="6574"/>
    <cellStyle name="40% - Accent6 5 12 2" xfId="29349"/>
    <cellStyle name="40% - Accent6 5 13" xfId="7230"/>
    <cellStyle name="40% - Accent6 5 13 2" xfId="30005"/>
    <cellStyle name="40% - Accent6 5 14" xfId="7886"/>
    <cellStyle name="40% - Accent6 5 14 2" xfId="30661"/>
    <cellStyle name="40% - Accent6 5 15" xfId="8542"/>
    <cellStyle name="40% - Accent6 5 15 2" xfId="31317"/>
    <cellStyle name="40% - Accent6 5 16" xfId="9198"/>
    <cellStyle name="40% - Accent6 5 16 2" xfId="31973"/>
    <cellStyle name="40% - Accent6 5 17" xfId="9854"/>
    <cellStyle name="40% - Accent6 5 17 2" xfId="32629"/>
    <cellStyle name="40% - Accent6 5 18" xfId="10510"/>
    <cellStyle name="40% - Accent6 5 18 2" xfId="33285"/>
    <cellStyle name="40% - Accent6 5 19" xfId="11166"/>
    <cellStyle name="40% - Accent6 5 19 2" xfId="33941"/>
    <cellStyle name="40% - Accent6 5 2" xfId="183"/>
    <cellStyle name="40% - Accent6 5 2 10" xfId="2381"/>
    <cellStyle name="40% - Accent6 5 2 10 2" xfId="25156"/>
    <cellStyle name="40% - Accent6 5 2 11" xfId="6645"/>
    <cellStyle name="40% - Accent6 5 2 11 2" xfId="29420"/>
    <cellStyle name="40% - Accent6 5 2 12" xfId="7301"/>
    <cellStyle name="40% - Accent6 5 2 12 2" xfId="30076"/>
    <cellStyle name="40% - Accent6 5 2 13" xfId="7957"/>
    <cellStyle name="40% - Accent6 5 2 13 2" xfId="30732"/>
    <cellStyle name="40% - Accent6 5 2 14" xfId="8613"/>
    <cellStyle name="40% - Accent6 5 2 14 2" xfId="31388"/>
    <cellStyle name="40% - Accent6 5 2 15" xfId="9269"/>
    <cellStyle name="40% - Accent6 5 2 15 2" xfId="32044"/>
    <cellStyle name="40% - Accent6 5 2 16" xfId="9925"/>
    <cellStyle name="40% - Accent6 5 2 16 2" xfId="32700"/>
    <cellStyle name="40% - Accent6 5 2 17" xfId="10581"/>
    <cellStyle name="40% - Accent6 5 2 17 2" xfId="33356"/>
    <cellStyle name="40% - Accent6 5 2 18" xfId="11237"/>
    <cellStyle name="40% - Accent6 5 2 18 2" xfId="34012"/>
    <cellStyle name="40% - Accent6 5 2 19" xfId="11893"/>
    <cellStyle name="40% - Accent6 5 2 19 2" xfId="34668"/>
    <cellStyle name="40% - Accent6 5 2 2" xfId="597"/>
    <cellStyle name="40% - Accent6 5 2 2 10" xfId="6830"/>
    <cellStyle name="40% - Accent6 5 2 2 10 2" xfId="29605"/>
    <cellStyle name="40% - Accent6 5 2 2 11" xfId="7486"/>
    <cellStyle name="40% - Accent6 5 2 2 11 2" xfId="30261"/>
    <cellStyle name="40% - Accent6 5 2 2 12" xfId="8142"/>
    <cellStyle name="40% - Accent6 5 2 2 12 2" xfId="30917"/>
    <cellStyle name="40% - Accent6 5 2 2 13" xfId="8798"/>
    <cellStyle name="40% - Accent6 5 2 2 13 2" xfId="31573"/>
    <cellStyle name="40% - Accent6 5 2 2 14" xfId="9454"/>
    <cellStyle name="40% - Accent6 5 2 2 14 2" xfId="32229"/>
    <cellStyle name="40% - Accent6 5 2 2 15" xfId="10110"/>
    <cellStyle name="40% - Accent6 5 2 2 15 2" xfId="32885"/>
    <cellStyle name="40% - Accent6 5 2 2 16" xfId="10766"/>
    <cellStyle name="40% - Accent6 5 2 2 16 2" xfId="33541"/>
    <cellStyle name="40% - Accent6 5 2 2 17" xfId="11422"/>
    <cellStyle name="40% - Accent6 5 2 2 17 2" xfId="34197"/>
    <cellStyle name="40% - Accent6 5 2 2 18" xfId="12078"/>
    <cellStyle name="40% - Accent6 5 2 2 18 2" xfId="34853"/>
    <cellStyle name="40% - Accent6 5 2 2 19" xfId="12734"/>
    <cellStyle name="40% - Accent6 5 2 2 19 2" xfId="35509"/>
    <cellStyle name="40% - Accent6 5 2 2 2" xfId="926"/>
    <cellStyle name="40% - Accent6 5 2 2 2 10" xfId="8470"/>
    <cellStyle name="40% - Accent6 5 2 2 2 10 2" xfId="31245"/>
    <cellStyle name="40% - Accent6 5 2 2 2 11" xfId="9126"/>
    <cellStyle name="40% - Accent6 5 2 2 2 11 2" xfId="31901"/>
    <cellStyle name="40% - Accent6 5 2 2 2 12" xfId="9782"/>
    <cellStyle name="40% - Accent6 5 2 2 2 12 2" xfId="32557"/>
    <cellStyle name="40% - Accent6 5 2 2 2 13" xfId="10438"/>
    <cellStyle name="40% - Accent6 5 2 2 2 13 2" xfId="33213"/>
    <cellStyle name="40% - Accent6 5 2 2 2 14" xfId="11094"/>
    <cellStyle name="40% - Accent6 5 2 2 2 14 2" xfId="33869"/>
    <cellStyle name="40% - Accent6 5 2 2 2 15" xfId="11750"/>
    <cellStyle name="40% - Accent6 5 2 2 2 15 2" xfId="34525"/>
    <cellStyle name="40% - Accent6 5 2 2 2 16" xfId="12406"/>
    <cellStyle name="40% - Accent6 5 2 2 2 16 2" xfId="35181"/>
    <cellStyle name="40% - Accent6 5 2 2 2 17" xfId="13062"/>
    <cellStyle name="40% - Accent6 5 2 2 2 17 2" xfId="35837"/>
    <cellStyle name="40% - Accent6 5 2 2 2 18" xfId="13718"/>
    <cellStyle name="40% - Accent6 5 2 2 2 18 2" xfId="36493"/>
    <cellStyle name="40% - Accent6 5 2 2 2 19" xfId="14374"/>
    <cellStyle name="40% - Accent6 5 2 2 2 19 2" xfId="37149"/>
    <cellStyle name="40% - Accent6 5 2 2 2 2" xfId="1582"/>
    <cellStyle name="40% - Accent6 5 2 2 2 2 2" xfId="3878"/>
    <cellStyle name="40% - Accent6 5 2 2 2 2 2 2" xfId="26653"/>
    <cellStyle name="40% - Accent6 5 2 2 2 2 3" xfId="24357"/>
    <cellStyle name="40% - Accent6 5 2 2 2 20" xfId="15030"/>
    <cellStyle name="40% - Accent6 5 2 2 2 20 2" xfId="37805"/>
    <cellStyle name="40% - Accent6 5 2 2 2 21" xfId="15686"/>
    <cellStyle name="40% - Accent6 5 2 2 2 21 2" xfId="38461"/>
    <cellStyle name="40% - Accent6 5 2 2 2 22" xfId="16342"/>
    <cellStyle name="40% - Accent6 5 2 2 2 22 2" xfId="39117"/>
    <cellStyle name="40% - Accent6 5 2 2 2 23" xfId="16998"/>
    <cellStyle name="40% - Accent6 5 2 2 2 23 2" xfId="39773"/>
    <cellStyle name="40% - Accent6 5 2 2 2 24" xfId="17654"/>
    <cellStyle name="40% - Accent6 5 2 2 2 24 2" xfId="40429"/>
    <cellStyle name="40% - Accent6 5 2 2 2 25" xfId="18310"/>
    <cellStyle name="40% - Accent6 5 2 2 2 25 2" xfId="41085"/>
    <cellStyle name="40% - Accent6 5 2 2 2 26" xfId="18966"/>
    <cellStyle name="40% - Accent6 5 2 2 2 26 2" xfId="41741"/>
    <cellStyle name="40% - Accent6 5 2 2 2 27" xfId="19622"/>
    <cellStyle name="40% - Accent6 5 2 2 2 27 2" xfId="42397"/>
    <cellStyle name="40% - Accent6 5 2 2 2 28" xfId="20278"/>
    <cellStyle name="40% - Accent6 5 2 2 2 28 2" xfId="43053"/>
    <cellStyle name="40% - Accent6 5 2 2 2 29" xfId="20934"/>
    <cellStyle name="40% - Accent6 5 2 2 2 29 2" xfId="43709"/>
    <cellStyle name="40% - Accent6 5 2 2 2 3" xfId="2238"/>
    <cellStyle name="40% - Accent6 5 2 2 2 3 2" xfId="4534"/>
    <cellStyle name="40% - Accent6 5 2 2 2 3 2 2" xfId="27309"/>
    <cellStyle name="40% - Accent6 5 2 2 2 3 3" xfId="25013"/>
    <cellStyle name="40% - Accent6 5 2 2 2 30" xfId="21590"/>
    <cellStyle name="40% - Accent6 5 2 2 2 30 2" xfId="44365"/>
    <cellStyle name="40% - Accent6 5 2 2 2 31" xfId="22246"/>
    <cellStyle name="40% - Accent6 5 2 2 2 31 2" xfId="45021"/>
    <cellStyle name="40% - Accent6 5 2 2 2 32" xfId="22902"/>
    <cellStyle name="40% - Accent6 5 2 2 2 32 2" xfId="45677"/>
    <cellStyle name="40% - Accent6 5 2 2 2 33" xfId="23701"/>
    <cellStyle name="40% - Accent6 5 2 2 2 4" xfId="5190"/>
    <cellStyle name="40% - Accent6 5 2 2 2 4 2" xfId="27965"/>
    <cellStyle name="40% - Accent6 5 2 2 2 5" xfId="5846"/>
    <cellStyle name="40% - Accent6 5 2 2 2 5 2" xfId="28621"/>
    <cellStyle name="40% - Accent6 5 2 2 2 6" xfId="6502"/>
    <cellStyle name="40% - Accent6 5 2 2 2 6 2" xfId="29277"/>
    <cellStyle name="40% - Accent6 5 2 2 2 7" xfId="3222"/>
    <cellStyle name="40% - Accent6 5 2 2 2 7 2" xfId="25997"/>
    <cellStyle name="40% - Accent6 5 2 2 2 8" xfId="7158"/>
    <cellStyle name="40% - Accent6 5 2 2 2 8 2" xfId="29933"/>
    <cellStyle name="40% - Accent6 5 2 2 2 9" xfId="7814"/>
    <cellStyle name="40% - Accent6 5 2 2 2 9 2" xfId="30589"/>
    <cellStyle name="40% - Accent6 5 2 2 20" xfId="13390"/>
    <cellStyle name="40% - Accent6 5 2 2 20 2" xfId="36165"/>
    <cellStyle name="40% - Accent6 5 2 2 21" xfId="14046"/>
    <cellStyle name="40% - Accent6 5 2 2 21 2" xfId="36821"/>
    <cellStyle name="40% - Accent6 5 2 2 22" xfId="14702"/>
    <cellStyle name="40% - Accent6 5 2 2 22 2" xfId="37477"/>
    <cellStyle name="40% - Accent6 5 2 2 23" xfId="15358"/>
    <cellStyle name="40% - Accent6 5 2 2 23 2" xfId="38133"/>
    <cellStyle name="40% - Accent6 5 2 2 24" xfId="16014"/>
    <cellStyle name="40% - Accent6 5 2 2 24 2" xfId="38789"/>
    <cellStyle name="40% - Accent6 5 2 2 25" xfId="16670"/>
    <cellStyle name="40% - Accent6 5 2 2 25 2" xfId="39445"/>
    <cellStyle name="40% - Accent6 5 2 2 26" xfId="17326"/>
    <cellStyle name="40% - Accent6 5 2 2 26 2" xfId="40101"/>
    <cellStyle name="40% - Accent6 5 2 2 27" xfId="17982"/>
    <cellStyle name="40% - Accent6 5 2 2 27 2" xfId="40757"/>
    <cellStyle name="40% - Accent6 5 2 2 28" xfId="18638"/>
    <cellStyle name="40% - Accent6 5 2 2 28 2" xfId="41413"/>
    <cellStyle name="40% - Accent6 5 2 2 29" xfId="19294"/>
    <cellStyle name="40% - Accent6 5 2 2 29 2" xfId="42069"/>
    <cellStyle name="40% - Accent6 5 2 2 3" xfId="1254"/>
    <cellStyle name="40% - Accent6 5 2 2 3 2" xfId="2894"/>
    <cellStyle name="40% - Accent6 5 2 2 3 2 2" xfId="25669"/>
    <cellStyle name="40% - Accent6 5 2 2 3 3" xfId="24029"/>
    <cellStyle name="40% - Accent6 5 2 2 30" xfId="19950"/>
    <cellStyle name="40% - Accent6 5 2 2 30 2" xfId="42725"/>
    <cellStyle name="40% - Accent6 5 2 2 31" xfId="20606"/>
    <cellStyle name="40% - Accent6 5 2 2 31 2" xfId="43381"/>
    <cellStyle name="40% - Accent6 5 2 2 32" xfId="21262"/>
    <cellStyle name="40% - Accent6 5 2 2 32 2" xfId="44037"/>
    <cellStyle name="40% - Accent6 5 2 2 33" xfId="21918"/>
    <cellStyle name="40% - Accent6 5 2 2 33 2" xfId="44693"/>
    <cellStyle name="40% - Accent6 5 2 2 34" xfId="22574"/>
    <cellStyle name="40% - Accent6 5 2 2 34 2" xfId="45349"/>
    <cellStyle name="40% - Accent6 5 2 2 35" xfId="23373"/>
    <cellStyle name="40% - Accent6 5 2 2 4" xfId="1910"/>
    <cellStyle name="40% - Accent6 5 2 2 4 2" xfId="3550"/>
    <cellStyle name="40% - Accent6 5 2 2 4 2 2" xfId="26325"/>
    <cellStyle name="40% - Accent6 5 2 2 4 3" xfId="24685"/>
    <cellStyle name="40% - Accent6 5 2 2 5" xfId="4206"/>
    <cellStyle name="40% - Accent6 5 2 2 5 2" xfId="26981"/>
    <cellStyle name="40% - Accent6 5 2 2 6" xfId="4862"/>
    <cellStyle name="40% - Accent6 5 2 2 6 2" xfId="27637"/>
    <cellStyle name="40% - Accent6 5 2 2 7" xfId="5518"/>
    <cellStyle name="40% - Accent6 5 2 2 7 2" xfId="28293"/>
    <cellStyle name="40% - Accent6 5 2 2 8" xfId="6174"/>
    <cellStyle name="40% - Accent6 5 2 2 8 2" xfId="28949"/>
    <cellStyle name="40% - Accent6 5 2 2 9" xfId="2566"/>
    <cellStyle name="40% - Accent6 5 2 2 9 2" xfId="25341"/>
    <cellStyle name="40% - Accent6 5 2 20" xfId="12549"/>
    <cellStyle name="40% - Accent6 5 2 20 2" xfId="35324"/>
    <cellStyle name="40% - Accent6 5 2 21" xfId="13205"/>
    <cellStyle name="40% - Accent6 5 2 21 2" xfId="35980"/>
    <cellStyle name="40% - Accent6 5 2 22" xfId="13861"/>
    <cellStyle name="40% - Accent6 5 2 22 2" xfId="36636"/>
    <cellStyle name="40% - Accent6 5 2 23" xfId="14517"/>
    <cellStyle name="40% - Accent6 5 2 23 2" xfId="37292"/>
    <cellStyle name="40% - Accent6 5 2 24" xfId="15173"/>
    <cellStyle name="40% - Accent6 5 2 24 2" xfId="37948"/>
    <cellStyle name="40% - Accent6 5 2 25" xfId="15829"/>
    <cellStyle name="40% - Accent6 5 2 25 2" xfId="38604"/>
    <cellStyle name="40% - Accent6 5 2 26" xfId="16485"/>
    <cellStyle name="40% - Accent6 5 2 26 2" xfId="39260"/>
    <cellStyle name="40% - Accent6 5 2 27" xfId="17141"/>
    <cellStyle name="40% - Accent6 5 2 27 2" xfId="39916"/>
    <cellStyle name="40% - Accent6 5 2 28" xfId="17797"/>
    <cellStyle name="40% - Accent6 5 2 28 2" xfId="40572"/>
    <cellStyle name="40% - Accent6 5 2 29" xfId="18453"/>
    <cellStyle name="40% - Accent6 5 2 29 2" xfId="41228"/>
    <cellStyle name="40% - Accent6 5 2 3" xfId="741"/>
    <cellStyle name="40% - Accent6 5 2 3 10" xfId="8285"/>
    <cellStyle name="40% - Accent6 5 2 3 10 2" xfId="31060"/>
    <cellStyle name="40% - Accent6 5 2 3 11" xfId="8941"/>
    <cellStyle name="40% - Accent6 5 2 3 11 2" xfId="31716"/>
    <cellStyle name="40% - Accent6 5 2 3 12" xfId="9597"/>
    <cellStyle name="40% - Accent6 5 2 3 12 2" xfId="32372"/>
    <cellStyle name="40% - Accent6 5 2 3 13" xfId="10253"/>
    <cellStyle name="40% - Accent6 5 2 3 13 2" xfId="33028"/>
    <cellStyle name="40% - Accent6 5 2 3 14" xfId="10909"/>
    <cellStyle name="40% - Accent6 5 2 3 14 2" xfId="33684"/>
    <cellStyle name="40% - Accent6 5 2 3 15" xfId="11565"/>
    <cellStyle name="40% - Accent6 5 2 3 15 2" xfId="34340"/>
    <cellStyle name="40% - Accent6 5 2 3 16" xfId="12221"/>
    <cellStyle name="40% - Accent6 5 2 3 16 2" xfId="34996"/>
    <cellStyle name="40% - Accent6 5 2 3 17" xfId="12877"/>
    <cellStyle name="40% - Accent6 5 2 3 17 2" xfId="35652"/>
    <cellStyle name="40% - Accent6 5 2 3 18" xfId="13533"/>
    <cellStyle name="40% - Accent6 5 2 3 18 2" xfId="36308"/>
    <cellStyle name="40% - Accent6 5 2 3 19" xfId="14189"/>
    <cellStyle name="40% - Accent6 5 2 3 19 2" xfId="36964"/>
    <cellStyle name="40% - Accent6 5 2 3 2" xfId="1397"/>
    <cellStyle name="40% - Accent6 5 2 3 2 2" xfId="3693"/>
    <cellStyle name="40% - Accent6 5 2 3 2 2 2" xfId="26468"/>
    <cellStyle name="40% - Accent6 5 2 3 2 3" xfId="24172"/>
    <cellStyle name="40% - Accent6 5 2 3 20" xfId="14845"/>
    <cellStyle name="40% - Accent6 5 2 3 20 2" xfId="37620"/>
    <cellStyle name="40% - Accent6 5 2 3 21" xfId="15501"/>
    <cellStyle name="40% - Accent6 5 2 3 21 2" xfId="38276"/>
    <cellStyle name="40% - Accent6 5 2 3 22" xfId="16157"/>
    <cellStyle name="40% - Accent6 5 2 3 22 2" xfId="38932"/>
    <cellStyle name="40% - Accent6 5 2 3 23" xfId="16813"/>
    <cellStyle name="40% - Accent6 5 2 3 23 2" xfId="39588"/>
    <cellStyle name="40% - Accent6 5 2 3 24" xfId="17469"/>
    <cellStyle name="40% - Accent6 5 2 3 24 2" xfId="40244"/>
    <cellStyle name="40% - Accent6 5 2 3 25" xfId="18125"/>
    <cellStyle name="40% - Accent6 5 2 3 25 2" xfId="40900"/>
    <cellStyle name="40% - Accent6 5 2 3 26" xfId="18781"/>
    <cellStyle name="40% - Accent6 5 2 3 26 2" xfId="41556"/>
    <cellStyle name="40% - Accent6 5 2 3 27" xfId="19437"/>
    <cellStyle name="40% - Accent6 5 2 3 27 2" xfId="42212"/>
    <cellStyle name="40% - Accent6 5 2 3 28" xfId="20093"/>
    <cellStyle name="40% - Accent6 5 2 3 28 2" xfId="42868"/>
    <cellStyle name="40% - Accent6 5 2 3 29" xfId="20749"/>
    <cellStyle name="40% - Accent6 5 2 3 29 2" xfId="43524"/>
    <cellStyle name="40% - Accent6 5 2 3 3" xfId="2053"/>
    <cellStyle name="40% - Accent6 5 2 3 3 2" xfId="4349"/>
    <cellStyle name="40% - Accent6 5 2 3 3 2 2" xfId="27124"/>
    <cellStyle name="40% - Accent6 5 2 3 3 3" xfId="24828"/>
    <cellStyle name="40% - Accent6 5 2 3 30" xfId="21405"/>
    <cellStyle name="40% - Accent6 5 2 3 30 2" xfId="44180"/>
    <cellStyle name="40% - Accent6 5 2 3 31" xfId="22061"/>
    <cellStyle name="40% - Accent6 5 2 3 31 2" xfId="44836"/>
    <cellStyle name="40% - Accent6 5 2 3 32" xfId="22717"/>
    <cellStyle name="40% - Accent6 5 2 3 32 2" xfId="45492"/>
    <cellStyle name="40% - Accent6 5 2 3 33" xfId="23516"/>
    <cellStyle name="40% - Accent6 5 2 3 4" xfId="5005"/>
    <cellStyle name="40% - Accent6 5 2 3 4 2" xfId="27780"/>
    <cellStyle name="40% - Accent6 5 2 3 5" xfId="5661"/>
    <cellStyle name="40% - Accent6 5 2 3 5 2" xfId="28436"/>
    <cellStyle name="40% - Accent6 5 2 3 6" xfId="6317"/>
    <cellStyle name="40% - Accent6 5 2 3 6 2" xfId="29092"/>
    <cellStyle name="40% - Accent6 5 2 3 7" xfId="3037"/>
    <cellStyle name="40% - Accent6 5 2 3 7 2" xfId="25812"/>
    <cellStyle name="40% - Accent6 5 2 3 8" xfId="6973"/>
    <cellStyle name="40% - Accent6 5 2 3 8 2" xfId="29748"/>
    <cellStyle name="40% - Accent6 5 2 3 9" xfId="7629"/>
    <cellStyle name="40% - Accent6 5 2 3 9 2" xfId="30404"/>
    <cellStyle name="40% - Accent6 5 2 30" xfId="19109"/>
    <cellStyle name="40% - Accent6 5 2 30 2" xfId="41884"/>
    <cellStyle name="40% - Accent6 5 2 31" xfId="19765"/>
    <cellStyle name="40% - Accent6 5 2 31 2" xfId="42540"/>
    <cellStyle name="40% - Accent6 5 2 32" xfId="20421"/>
    <cellStyle name="40% - Accent6 5 2 32 2" xfId="43196"/>
    <cellStyle name="40% - Accent6 5 2 33" xfId="21077"/>
    <cellStyle name="40% - Accent6 5 2 33 2" xfId="43852"/>
    <cellStyle name="40% - Accent6 5 2 34" xfId="21733"/>
    <cellStyle name="40% - Accent6 5 2 34 2" xfId="44508"/>
    <cellStyle name="40% - Accent6 5 2 35" xfId="22389"/>
    <cellStyle name="40% - Accent6 5 2 35 2" xfId="45164"/>
    <cellStyle name="40% - Accent6 5 2 36" xfId="23045"/>
    <cellStyle name="40% - Accent6 5 2 4" xfId="414"/>
    <cellStyle name="40% - Accent6 5 2 4 2" xfId="2709"/>
    <cellStyle name="40% - Accent6 5 2 4 2 2" xfId="25484"/>
    <cellStyle name="40% - Accent6 5 2 4 3" xfId="23188"/>
    <cellStyle name="40% - Accent6 5 2 5" xfId="1069"/>
    <cellStyle name="40% - Accent6 5 2 5 2" xfId="3365"/>
    <cellStyle name="40% - Accent6 5 2 5 2 2" xfId="26140"/>
    <cellStyle name="40% - Accent6 5 2 5 3" xfId="23844"/>
    <cellStyle name="40% - Accent6 5 2 6" xfId="1725"/>
    <cellStyle name="40% - Accent6 5 2 6 2" xfId="4021"/>
    <cellStyle name="40% - Accent6 5 2 6 2 2" xfId="26796"/>
    <cellStyle name="40% - Accent6 5 2 6 3" xfId="24500"/>
    <cellStyle name="40% - Accent6 5 2 7" xfId="4677"/>
    <cellStyle name="40% - Accent6 5 2 7 2" xfId="27452"/>
    <cellStyle name="40% - Accent6 5 2 8" xfId="5333"/>
    <cellStyle name="40% - Accent6 5 2 8 2" xfId="28108"/>
    <cellStyle name="40% - Accent6 5 2 9" xfId="5989"/>
    <cellStyle name="40% - Accent6 5 2 9 2" xfId="28764"/>
    <cellStyle name="40% - Accent6 5 20" xfId="11822"/>
    <cellStyle name="40% - Accent6 5 20 2" xfId="34597"/>
    <cellStyle name="40% - Accent6 5 21" xfId="12478"/>
    <cellStyle name="40% - Accent6 5 21 2" xfId="35253"/>
    <cellStyle name="40% - Accent6 5 22" xfId="13134"/>
    <cellStyle name="40% - Accent6 5 22 2" xfId="35909"/>
    <cellStyle name="40% - Accent6 5 23" xfId="13790"/>
    <cellStyle name="40% - Accent6 5 23 2" xfId="36565"/>
    <cellStyle name="40% - Accent6 5 24" xfId="14446"/>
    <cellStyle name="40% - Accent6 5 24 2" xfId="37221"/>
    <cellStyle name="40% - Accent6 5 25" xfId="15102"/>
    <cellStyle name="40% - Accent6 5 25 2" xfId="37877"/>
    <cellStyle name="40% - Accent6 5 26" xfId="15758"/>
    <cellStyle name="40% - Accent6 5 26 2" xfId="38533"/>
    <cellStyle name="40% - Accent6 5 27" xfId="16414"/>
    <cellStyle name="40% - Accent6 5 27 2" xfId="39189"/>
    <cellStyle name="40% - Accent6 5 28" xfId="17070"/>
    <cellStyle name="40% - Accent6 5 28 2" xfId="39845"/>
    <cellStyle name="40% - Accent6 5 29" xfId="17726"/>
    <cellStyle name="40% - Accent6 5 29 2" xfId="40501"/>
    <cellStyle name="40% - Accent6 5 3" xfId="527"/>
    <cellStyle name="40% - Accent6 5 3 10" xfId="6759"/>
    <cellStyle name="40% - Accent6 5 3 10 2" xfId="29534"/>
    <cellStyle name="40% - Accent6 5 3 11" xfId="7415"/>
    <cellStyle name="40% - Accent6 5 3 11 2" xfId="30190"/>
    <cellStyle name="40% - Accent6 5 3 12" xfId="8071"/>
    <cellStyle name="40% - Accent6 5 3 12 2" xfId="30846"/>
    <cellStyle name="40% - Accent6 5 3 13" xfId="8727"/>
    <cellStyle name="40% - Accent6 5 3 13 2" xfId="31502"/>
    <cellStyle name="40% - Accent6 5 3 14" xfId="9383"/>
    <cellStyle name="40% - Accent6 5 3 14 2" xfId="32158"/>
    <cellStyle name="40% - Accent6 5 3 15" xfId="10039"/>
    <cellStyle name="40% - Accent6 5 3 15 2" xfId="32814"/>
    <cellStyle name="40% - Accent6 5 3 16" xfId="10695"/>
    <cellStyle name="40% - Accent6 5 3 16 2" xfId="33470"/>
    <cellStyle name="40% - Accent6 5 3 17" xfId="11351"/>
    <cellStyle name="40% - Accent6 5 3 17 2" xfId="34126"/>
    <cellStyle name="40% - Accent6 5 3 18" xfId="12007"/>
    <cellStyle name="40% - Accent6 5 3 18 2" xfId="34782"/>
    <cellStyle name="40% - Accent6 5 3 19" xfId="12663"/>
    <cellStyle name="40% - Accent6 5 3 19 2" xfId="35438"/>
    <cellStyle name="40% - Accent6 5 3 2" xfId="855"/>
    <cellStyle name="40% - Accent6 5 3 2 10" xfId="8399"/>
    <cellStyle name="40% - Accent6 5 3 2 10 2" xfId="31174"/>
    <cellStyle name="40% - Accent6 5 3 2 11" xfId="9055"/>
    <cellStyle name="40% - Accent6 5 3 2 11 2" xfId="31830"/>
    <cellStyle name="40% - Accent6 5 3 2 12" xfId="9711"/>
    <cellStyle name="40% - Accent6 5 3 2 12 2" xfId="32486"/>
    <cellStyle name="40% - Accent6 5 3 2 13" xfId="10367"/>
    <cellStyle name="40% - Accent6 5 3 2 13 2" xfId="33142"/>
    <cellStyle name="40% - Accent6 5 3 2 14" xfId="11023"/>
    <cellStyle name="40% - Accent6 5 3 2 14 2" xfId="33798"/>
    <cellStyle name="40% - Accent6 5 3 2 15" xfId="11679"/>
    <cellStyle name="40% - Accent6 5 3 2 15 2" xfId="34454"/>
    <cellStyle name="40% - Accent6 5 3 2 16" xfId="12335"/>
    <cellStyle name="40% - Accent6 5 3 2 16 2" xfId="35110"/>
    <cellStyle name="40% - Accent6 5 3 2 17" xfId="12991"/>
    <cellStyle name="40% - Accent6 5 3 2 17 2" xfId="35766"/>
    <cellStyle name="40% - Accent6 5 3 2 18" xfId="13647"/>
    <cellStyle name="40% - Accent6 5 3 2 18 2" xfId="36422"/>
    <cellStyle name="40% - Accent6 5 3 2 19" xfId="14303"/>
    <cellStyle name="40% - Accent6 5 3 2 19 2" xfId="37078"/>
    <cellStyle name="40% - Accent6 5 3 2 2" xfId="1511"/>
    <cellStyle name="40% - Accent6 5 3 2 2 2" xfId="3807"/>
    <cellStyle name="40% - Accent6 5 3 2 2 2 2" xfId="26582"/>
    <cellStyle name="40% - Accent6 5 3 2 2 3" xfId="24286"/>
    <cellStyle name="40% - Accent6 5 3 2 20" xfId="14959"/>
    <cellStyle name="40% - Accent6 5 3 2 20 2" xfId="37734"/>
    <cellStyle name="40% - Accent6 5 3 2 21" xfId="15615"/>
    <cellStyle name="40% - Accent6 5 3 2 21 2" xfId="38390"/>
    <cellStyle name="40% - Accent6 5 3 2 22" xfId="16271"/>
    <cellStyle name="40% - Accent6 5 3 2 22 2" xfId="39046"/>
    <cellStyle name="40% - Accent6 5 3 2 23" xfId="16927"/>
    <cellStyle name="40% - Accent6 5 3 2 23 2" xfId="39702"/>
    <cellStyle name="40% - Accent6 5 3 2 24" xfId="17583"/>
    <cellStyle name="40% - Accent6 5 3 2 24 2" xfId="40358"/>
    <cellStyle name="40% - Accent6 5 3 2 25" xfId="18239"/>
    <cellStyle name="40% - Accent6 5 3 2 25 2" xfId="41014"/>
    <cellStyle name="40% - Accent6 5 3 2 26" xfId="18895"/>
    <cellStyle name="40% - Accent6 5 3 2 26 2" xfId="41670"/>
    <cellStyle name="40% - Accent6 5 3 2 27" xfId="19551"/>
    <cellStyle name="40% - Accent6 5 3 2 27 2" xfId="42326"/>
    <cellStyle name="40% - Accent6 5 3 2 28" xfId="20207"/>
    <cellStyle name="40% - Accent6 5 3 2 28 2" xfId="42982"/>
    <cellStyle name="40% - Accent6 5 3 2 29" xfId="20863"/>
    <cellStyle name="40% - Accent6 5 3 2 29 2" xfId="43638"/>
    <cellStyle name="40% - Accent6 5 3 2 3" xfId="2167"/>
    <cellStyle name="40% - Accent6 5 3 2 3 2" xfId="4463"/>
    <cellStyle name="40% - Accent6 5 3 2 3 2 2" xfId="27238"/>
    <cellStyle name="40% - Accent6 5 3 2 3 3" xfId="24942"/>
    <cellStyle name="40% - Accent6 5 3 2 30" xfId="21519"/>
    <cellStyle name="40% - Accent6 5 3 2 30 2" xfId="44294"/>
    <cellStyle name="40% - Accent6 5 3 2 31" xfId="22175"/>
    <cellStyle name="40% - Accent6 5 3 2 31 2" xfId="44950"/>
    <cellStyle name="40% - Accent6 5 3 2 32" xfId="22831"/>
    <cellStyle name="40% - Accent6 5 3 2 32 2" xfId="45606"/>
    <cellStyle name="40% - Accent6 5 3 2 33" xfId="23630"/>
    <cellStyle name="40% - Accent6 5 3 2 4" xfId="5119"/>
    <cellStyle name="40% - Accent6 5 3 2 4 2" xfId="27894"/>
    <cellStyle name="40% - Accent6 5 3 2 5" xfId="5775"/>
    <cellStyle name="40% - Accent6 5 3 2 5 2" xfId="28550"/>
    <cellStyle name="40% - Accent6 5 3 2 6" xfId="6431"/>
    <cellStyle name="40% - Accent6 5 3 2 6 2" xfId="29206"/>
    <cellStyle name="40% - Accent6 5 3 2 7" xfId="3151"/>
    <cellStyle name="40% - Accent6 5 3 2 7 2" xfId="25926"/>
    <cellStyle name="40% - Accent6 5 3 2 8" xfId="7087"/>
    <cellStyle name="40% - Accent6 5 3 2 8 2" xfId="29862"/>
    <cellStyle name="40% - Accent6 5 3 2 9" xfId="7743"/>
    <cellStyle name="40% - Accent6 5 3 2 9 2" xfId="30518"/>
    <cellStyle name="40% - Accent6 5 3 20" xfId="13319"/>
    <cellStyle name="40% - Accent6 5 3 20 2" xfId="36094"/>
    <cellStyle name="40% - Accent6 5 3 21" xfId="13975"/>
    <cellStyle name="40% - Accent6 5 3 21 2" xfId="36750"/>
    <cellStyle name="40% - Accent6 5 3 22" xfId="14631"/>
    <cellStyle name="40% - Accent6 5 3 22 2" xfId="37406"/>
    <cellStyle name="40% - Accent6 5 3 23" xfId="15287"/>
    <cellStyle name="40% - Accent6 5 3 23 2" xfId="38062"/>
    <cellStyle name="40% - Accent6 5 3 24" xfId="15943"/>
    <cellStyle name="40% - Accent6 5 3 24 2" xfId="38718"/>
    <cellStyle name="40% - Accent6 5 3 25" xfId="16599"/>
    <cellStyle name="40% - Accent6 5 3 25 2" xfId="39374"/>
    <cellStyle name="40% - Accent6 5 3 26" xfId="17255"/>
    <cellStyle name="40% - Accent6 5 3 26 2" xfId="40030"/>
    <cellStyle name="40% - Accent6 5 3 27" xfId="17911"/>
    <cellStyle name="40% - Accent6 5 3 27 2" xfId="40686"/>
    <cellStyle name="40% - Accent6 5 3 28" xfId="18567"/>
    <cellStyle name="40% - Accent6 5 3 28 2" xfId="41342"/>
    <cellStyle name="40% - Accent6 5 3 29" xfId="19223"/>
    <cellStyle name="40% - Accent6 5 3 29 2" xfId="41998"/>
    <cellStyle name="40% - Accent6 5 3 3" xfId="1183"/>
    <cellStyle name="40% - Accent6 5 3 3 2" xfId="2823"/>
    <cellStyle name="40% - Accent6 5 3 3 2 2" xfId="25598"/>
    <cellStyle name="40% - Accent6 5 3 3 3" xfId="23958"/>
    <cellStyle name="40% - Accent6 5 3 30" xfId="19879"/>
    <cellStyle name="40% - Accent6 5 3 30 2" xfId="42654"/>
    <cellStyle name="40% - Accent6 5 3 31" xfId="20535"/>
    <cellStyle name="40% - Accent6 5 3 31 2" xfId="43310"/>
    <cellStyle name="40% - Accent6 5 3 32" xfId="21191"/>
    <cellStyle name="40% - Accent6 5 3 32 2" xfId="43966"/>
    <cellStyle name="40% - Accent6 5 3 33" xfId="21847"/>
    <cellStyle name="40% - Accent6 5 3 33 2" xfId="44622"/>
    <cellStyle name="40% - Accent6 5 3 34" xfId="22503"/>
    <cellStyle name="40% - Accent6 5 3 34 2" xfId="45278"/>
    <cellStyle name="40% - Accent6 5 3 35" xfId="23302"/>
    <cellStyle name="40% - Accent6 5 3 4" xfId="1839"/>
    <cellStyle name="40% - Accent6 5 3 4 2" xfId="3479"/>
    <cellStyle name="40% - Accent6 5 3 4 2 2" xfId="26254"/>
    <cellStyle name="40% - Accent6 5 3 4 3" xfId="24614"/>
    <cellStyle name="40% - Accent6 5 3 5" xfId="4135"/>
    <cellStyle name="40% - Accent6 5 3 5 2" xfId="26910"/>
    <cellStyle name="40% - Accent6 5 3 6" xfId="4791"/>
    <cellStyle name="40% - Accent6 5 3 6 2" xfId="27566"/>
    <cellStyle name="40% - Accent6 5 3 7" xfId="5447"/>
    <cellStyle name="40% - Accent6 5 3 7 2" xfId="28222"/>
    <cellStyle name="40% - Accent6 5 3 8" xfId="6103"/>
    <cellStyle name="40% - Accent6 5 3 8 2" xfId="28878"/>
    <cellStyle name="40% - Accent6 5 3 9" xfId="2495"/>
    <cellStyle name="40% - Accent6 5 3 9 2" xfId="25270"/>
    <cellStyle name="40% - Accent6 5 30" xfId="18382"/>
    <cellStyle name="40% - Accent6 5 30 2" xfId="41157"/>
    <cellStyle name="40% - Accent6 5 31" xfId="19038"/>
    <cellStyle name="40% - Accent6 5 31 2" xfId="41813"/>
    <cellStyle name="40% - Accent6 5 32" xfId="19694"/>
    <cellStyle name="40% - Accent6 5 32 2" xfId="42469"/>
    <cellStyle name="40% - Accent6 5 33" xfId="20350"/>
    <cellStyle name="40% - Accent6 5 33 2" xfId="43125"/>
    <cellStyle name="40% - Accent6 5 34" xfId="21006"/>
    <cellStyle name="40% - Accent6 5 34 2" xfId="43781"/>
    <cellStyle name="40% - Accent6 5 35" xfId="21662"/>
    <cellStyle name="40% - Accent6 5 35 2" xfId="44437"/>
    <cellStyle name="40% - Accent6 5 36" xfId="22318"/>
    <cellStyle name="40% - Accent6 5 36 2" xfId="45093"/>
    <cellStyle name="40% - Accent6 5 37" xfId="257"/>
    <cellStyle name="40% - Accent6 5 38" xfId="22974"/>
    <cellStyle name="40% - Accent6 5 4" xfId="670"/>
    <cellStyle name="40% - Accent6 5 4 10" xfId="8214"/>
    <cellStyle name="40% - Accent6 5 4 10 2" xfId="30989"/>
    <cellStyle name="40% - Accent6 5 4 11" xfId="8870"/>
    <cellStyle name="40% - Accent6 5 4 11 2" xfId="31645"/>
    <cellStyle name="40% - Accent6 5 4 12" xfId="9526"/>
    <cellStyle name="40% - Accent6 5 4 12 2" xfId="32301"/>
    <cellStyle name="40% - Accent6 5 4 13" xfId="10182"/>
    <cellStyle name="40% - Accent6 5 4 13 2" xfId="32957"/>
    <cellStyle name="40% - Accent6 5 4 14" xfId="10838"/>
    <cellStyle name="40% - Accent6 5 4 14 2" xfId="33613"/>
    <cellStyle name="40% - Accent6 5 4 15" xfId="11494"/>
    <cellStyle name="40% - Accent6 5 4 15 2" xfId="34269"/>
    <cellStyle name="40% - Accent6 5 4 16" xfId="12150"/>
    <cellStyle name="40% - Accent6 5 4 16 2" xfId="34925"/>
    <cellStyle name="40% - Accent6 5 4 17" xfId="12806"/>
    <cellStyle name="40% - Accent6 5 4 17 2" xfId="35581"/>
    <cellStyle name="40% - Accent6 5 4 18" xfId="13462"/>
    <cellStyle name="40% - Accent6 5 4 18 2" xfId="36237"/>
    <cellStyle name="40% - Accent6 5 4 19" xfId="14118"/>
    <cellStyle name="40% - Accent6 5 4 19 2" xfId="36893"/>
    <cellStyle name="40% - Accent6 5 4 2" xfId="1326"/>
    <cellStyle name="40% - Accent6 5 4 2 2" xfId="3622"/>
    <cellStyle name="40% - Accent6 5 4 2 2 2" xfId="26397"/>
    <cellStyle name="40% - Accent6 5 4 2 3" xfId="24101"/>
    <cellStyle name="40% - Accent6 5 4 20" xfId="14774"/>
    <cellStyle name="40% - Accent6 5 4 20 2" xfId="37549"/>
    <cellStyle name="40% - Accent6 5 4 21" xfId="15430"/>
    <cellStyle name="40% - Accent6 5 4 21 2" xfId="38205"/>
    <cellStyle name="40% - Accent6 5 4 22" xfId="16086"/>
    <cellStyle name="40% - Accent6 5 4 22 2" xfId="38861"/>
    <cellStyle name="40% - Accent6 5 4 23" xfId="16742"/>
    <cellStyle name="40% - Accent6 5 4 23 2" xfId="39517"/>
    <cellStyle name="40% - Accent6 5 4 24" xfId="17398"/>
    <cellStyle name="40% - Accent6 5 4 24 2" xfId="40173"/>
    <cellStyle name="40% - Accent6 5 4 25" xfId="18054"/>
    <cellStyle name="40% - Accent6 5 4 25 2" xfId="40829"/>
    <cellStyle name="40% - Accent6 5 4 26" xfId="18710"/>
    <cellStyle name="40% - Accent6 5 4 26 2" xfId="41485"/>
    <cellStyle name="40% - Accent6 5 4 27" xfId="19366"/>
    <cellStyle name="40% - Accent6 5 4 27 2" xfId="42141"/>
    <cellStyle name="40% - Accent6 5 4 28" xfId="20022"/>
    <cellStyle name="40% - Accent6 5 4 28 2" xfId="42797"/>
    <cellStyle name="40% - Accent6 5 4 29" xfId="20678"/>
    <cellStyle name="40% - Accent6 5 4 29 2" xfId="43453"/>
    <cellStyle name="40% - Accent6 5 4 3" xfId="1982"/>
    <cellStyle name="40% - Accent6 5 4 3 2" xfId="4278"/>
    <cellStyle name="40% - Accent6 5 4 3 2 2" xfId="27053"/>
    <cellStyle name="40% - Accent6 5 4 3 3" xfId="24757"/>
    <cellStyle name="40% - Accent6 5 4 30" xfId="21334"/>
    <cellStyle name="40% - Accent6 5 4 30 2" xfId="44109"/>
    <cellStyle name="40% - Accent6 5 4 31" xfId="21990"/>
    <cellStyle name="40% - Accent6 5 4 31 2" xfId="44765"/>
    <cellStyle name="40% - Accent6 5 4 32" xfId="22646"/>
    <cellStyle name="40% - Accent6 5 4 32 2" xfId="45421"/>
    <cellStyle name="40% - Accent6 5 4 33" xfId="23445"/>
    <cellStyle name="40% - Accent6 5 4 4" xfId="4934"/>
    <cellStyle name="40% - Accent6 5 4 4 2" xfId="27709"/>
    <cellStyle name="40% - Accent6 5 4 5" xfId="5590"/>
    <cellStyle name="40% - Accent6 5 4 5 2" xfId="28365"/>
    <cellStyle name="40% - Accent6 5 4 6" xfId="6246"/>
    <cellStyle name="40% - Accent6 5 4 6 2" xfId="29021"/>
    <cellStyle name="40% - Accent6 5 4 7" xfId="2966"/>
    <cellStyle name="40% - Accent6 5 4 7 2" xfId="25741"/>
    <cellStyle name="40% - Accent6 5 4 8" xfId="6902"/>
    <cellStyle name="40% - Accent6 5 4 8 2" xfId="29677"/>
    <cellStyle name="40% - Accent6 5 4 9" xfId="7558"/>
    <cellStyle name="40% - Accent6 5 4 9 2" xfId="30333"/>
    <cellStyle name="40% - Accent6 5 5" xfId="343"/>
    <cellStyle name="40% - Accent6 5 5 2" xfId="2638"/>
    <cellStyle name="40% - Accent6 5 5 2 2" xfId="25413"/>
    <cellStyle name="40% - Accent6 5 5 3" xfId="23117"/>
    <cellStyle name="40% - Accent6 5 6" xfId="998"/>
    <cellStyle name="40% - Accent6 5 6 2" xfId="3294"/>
    <cellStyle name="40% - Accent6 5 6 2 2" xfId="26069"/>
    <cellStyle name="40% - Accent6 5 6 3" xfId="23773"/>
    <cellStyle name="40% - Accent6 5 7" xfId="1654"/>
    <cellStyle name="40% - Accent6 5 7 2" xfId="3950"/>
    <cellStyle name="40% - Accent6 5 7 2 2" xfId="26725"/>
    <cellStyle name="40% - Accent6 5 7 3" xfId="24429"/>
    <cellStyle name="40% - Accent6 5 8" xfId="4606"/>
    <cellStyle name="40% - Accent6 5 8 2" xfId="27381"/>
    <cellStyle name="40% - Accent6 5 9" xfId="5262"/>
    <cellStyle name="40% - Accent6 5 9 2" xfId="28037"/>
    <cellStyle name="40% - Accent6 6" xfId="125"/>
    <cellStyle name="40% - Accent6 6 10" xfId="2323"/>
    <cellStyle name="40% - Accent6 6 10 2" xfId="25098"/>
    <cellStyle name="40% - Accent6 6 11" xfId="6587"/>
    <cellStyle name="40% - Accent6 6 11 2" xfId="29362"/>
    <cellStyle name="40% - Accent6 6 12" xfId="7243"/>
    <cellStyle name="40% - Accent6 6 12 2" xfId="30018"/>
    <cellStyle name="40% - Accent6 6 13" xfId="7899"/>
    <cellStyle name="40% - Accent6 6 13 2" xfId="30674"/>
    <cellStyle name="40% - Accent6 6 14" xfId="8555"/>
    <cellStyle name="40% - Accent6 6 14 2" xfId="31330"/>
    <cellStyle name="40% - Accent6 6 15" xfId="9211"/>
    <cellStyle name="40% - Accent6 6 15 2" xfId="31986"/>
    <cellStyle name="40% - Accent6 6 16" xfId="9867"/>
    <cellStyle name="40% - Accent6 6 16 2" xfId="32642"/>
    <cellStyle name="40% - Accent6 6 17" xfId="10523"/>
    <cellStyle name="40% - Accent6 6 17 2" xfId="33298"/>
    <cellStyle name="40% - Accent6 6 18" xfId="11179"/>
    <cellStyle name="40% - Accent6 6 18 2" xfId="33954"/>
    <cellStyle name="40% - Accent6 6 19" xfId="11835"/>
    <cellStyle name="40% - Accent6 6 19 2" xfId="34610"/>
    <cellStyle name="40% - Accent6 6 2" xfId="539"/>
    <cellStyle name="40% - Accent6 6 2 10" xfId="6772"/>
    <cellStyle name="40% - Accent6 6 2 10 2" xfId="29547"/>
    <cellStyle name="40% - Accent6 6 2 11" xfId="7428"/>
    <cellStyle name="40% - Accent6 6 2 11 2" xfId="30203"/>
    <cellStyle name="40% - Accent6 6 2 12" xfId="8084"/>
    <cellStyle name="40% - Accent6 6 2 12 2" xfId="30859"/>
    <cellStyle name="40% - Accent6 6 2 13" xfId="8740"/>
    <cellStyle name="40% - Accent6 6 2 13 2" xfId="31515"/>
    <cellStyle name="40% - Accent6 6 2 14" xfId="9396"/>
    <cellStyle name="40% - Accent6 6 2 14 2" xfId="32171"/>
    <cellStyle name="40% - Accent6 6 2 15" xfId="10052"/>
    <cellStyle name="40% - Accent6 6 2 15 2" xfId="32827"/>
    <cellStyle name="40% - Accent6 6 2 16" xfId="10708"/>
    <cellStyle name="40% - Accent6 6 2 16 2" xfId="33483"/>
    <cellStyle name="40% - Accent6 6 2 17" xfId="11364"/>
    <cellStyle name="40% - Accent6 6 2 17 2" xfId="34139"/>
    <cellStyle name="40% - Accent6 6 2 18" xfId="12020"/>
    <cellStyle name="40% - Accent6 6 2 18 2" xfId="34795"/>
    <cellStyle name="40% - Accent6 6 2 19" xfId="12676"/>
    <cellStyle name="40% - Accent6 6 2 19 2" xfId="35451"/>
    <cellStyle name="40% - Accent6 6 2 2" xfId="868"/>
    <cellStyle name="40% - Accent6 6 2 2 10" xfId="8412"/>
    <cellStyle name="40% - Accent6 6 2 2 10 2" xfId="31187"/>
    <cellStyle name="40% - Accent6 6 2 2 11" xfId="9068"/>
    <cellStyle name="40% - Accent6 6 2 2 11 2" xfId="31843"/>
    <cellStyle name="40% - Accent6 6 2 2 12" xfId="9724"/>
    <cellStyle name="40% - Accent6 6 2 2 12 2" xfId="32499"/>
    <cellStyle name="40% - Accent6 6 2 2 13" xfId="10380"/>
    <cellStyle name="40% - Accent6 6 2 2 13 2" xfId="33155"/>
    <cellStyle name="40% - Accent6 6 2 2 14" xfId="11036"/>
    <cellStyle name="40% - Accent6 6 2 2 14 2" xfId="33811"/>
    <cellStyle name="40% - Accent6 6 2 2 15" xfId="11692"/>
    <cellStyle name="40% - Accent6 6 2 2 15 2" xfId="34467"/>
    <cellStyle name="40% - Accent6 6 2 2 16" xfId="12348"/>
    <cellStyle name="40% - Accent6 6 2 2 16 2" xfId="35123"/>
    <cellStyle name="40% - Accent6 6 2 2 17" xfId="13004"/>
    <cellStyle name="40% - Accent6 6 2 2 17 2" xfId="35779"/>
    <cellStyle name="40% - Accent6 6 2 2 18" xfId="13660"/>
    <cellStyle name="40% - Accent6 6 2 2 18 2" xfId="36435"/>
    <cellStyle name="40% - Accent6 6 2 2 19" xfId="14316"/>
    <cellStyle name="40% - Accent6 6 2 2 19 2" xfId="37091"/>
    <cellStyle name="40% - Accent6 6 2 2 2" xfId="1524"/>
    <cellStyle name="40% - Accent6 6 2 2 2 2" xfId="3820"/>
    <cellStyle name="40% - Accent6 6 2 2 2 2 2" xfId="26595"/>
    <cellStyle name="40% - Accent6 6 2 2 2 3" xfId="24299"/>
    <cellStyle name="40% - Accent6 6 2 2 20" xfId="14972"/>
    <cellStyle name="40% - Accent6 6 2 2 20 2" xfId="37747"/>
    <cellStyle name="40% - Accent6 6 2 2 21" xfId="15628"/>
    <cellStyle name="40% - Accent6 6 2 2 21 2" xfId="38403"/>
    <cellStyle name="40% - Accent6 6 2 2 22" xfId="16284"/>
    <cellStyle name="40% - Accent6 6 2 2 22 2" xfId="39059"/>
    <cellStyle name="40% - Accent6 6 2 2 23" xfId="16940"/>
    <cellStyle name="40% - Accent6 6 2 2 23 2" xfId="39715"/>
    <cellStyle name="40% - Accent6 6 2 2 24" xfId="17596"/>
    <cellStyle name="40% - Accent6 6 2 2 24 2" xfId="40371"/>
    <cellStyle name="40% - Accent6 6 2 2 25" xfId="18252"/>
    <cellStyle name="40% - Accent6 6 2 2 25 2" xfId="41027"/>
    <cellStyle name="40% - Accent6 6 2 2 26" xfId="18908"/>
    <cellStyle name="40% - Accent6 6 2 2 26 2" xfId="41683"/>
    <cellStyle name="40% - Accent6 6 2 2 27" xfId="19564"/>
    <cellStyle name="40% - Accent6 6 2 2 27 2" xfId="42339"/>
    <cellStyle name="40% - Accent6 6 2 2 28" xfId="20220"/>
    <cellStyle name="40% - Accent6 6 2 2 28 2" xfId="42995"/>
    <cellStyle name="40% - Accent6 6 2 2 29" xfId="20876"/>
    <cellStyle name="40% - Accent6 6 2 2 29 2" xfId="43651"/>
    <cellStyle name="40% - Accent6 6 2 2 3" xfId="2180"/>
    <cellStyle name="40% - Accent6 6 2 2 3 2" xfId="4476"/>
    <cellStyle name="40% - Accent6 6 2 2 3 2 2" xfId="27251"/>
    <cellStyle name="40% - Accent6 6 2 2 3 3" xfId="24955"/>
    <cellStyle name="40% - Accent6 6 2 2 30" xfId="21532"/>
    <cellStyle name="40% - Accent6 6 2 2 30 2" xfId="44307"/>
    <cellStyle name="40% - Accent6 6 2 2 31" xfId="22188"/>
    <cellStyle name="40% - Accent6 6 2 2 31 2" xfId="44963"/>
    <cellStyle name="40% - Accent6 6 2 2 32" xfId="22844"/>
    <cellStyle name="40% - Accent6 6 2 2 32 2" xfId="45619"/>
    <cellStyle name="40% - Accent6 6 2 2 33" xfId="23643"/>
    <cellStyle name="40% - Accent6 6 2 2 4" xfId="5132"/>
    <cellStyle name="40% - Accent6 6 2 2 4 2" xfId="27907"/>
    <cellStyle name="40% - Accent6 6 2 2 5" xfId="5788"/>
    <cellStyle name="40% - Accent6 6 2 2 5 2" xfId="28563"/>
    <cellStyle name="40% - Accent6 6 2 2 6" xfId="6444"/>
    <cellStyle name="40% - Accent6 6 2 2 6 2" xfId="29219"/>
    <cellStyle name="40% - Accent6 6 2 2 7" xfId="3164"/>
    <cellStyle name="40% - Accent6 6 2 2 7 2" xfId="25939"/>
    <cellStyle name="40% - Accent6 6 2 2 8" xfId="7100"/>
    <cellStyle name="40% - Accent6 6 2 2 8 2" xfId="29875"/>
    <cellStyle name="40% - Accent6 6 2 2 9" xfId="7756"/>
    <cellStyle name="40% - Accent6 6 2 2 9 2" xfId="30531"/>
    <cellStyle name="40% - Accent6 6 2 20" xfId="13332"/>
    <cellStyle name="40% - Accent6 6 2 20 2" xfId="36107"/>
    <cellStyle name="40% - Accent6 6 2 21" xfId="13988"/>
    <cellStyle name="40% - Accent6 6 2 21 2" xfId="36763"/>
    <cellStyle name="40% - Accent6 6 2 22" xfId="14644"/>
    <cellStyle name="40% - Accent6 6 2 22 2" xfId="37419"/>
    <cellStyle name="40% - Accent6 6 2 23" xfId="15300"/>
    <cellStyle name="40% - Accent6 6 2 23 2" xfId="38075"/>
    <cellStyle name="40% - Accent6 6 2 24" xfId="15956"/>
    <cellStyle name="40% - Accent6 6 2 24 2" xfId="38731"/>
    <cellStyle name="40% - Accent6 6 2 25" xfId="16612"/>
    <cellStyle name="40% - Accent6 6 2 25 2" xfId="39387"/>
    <cellStyle name="40% - Accent6 6 2 26" xfId="17268"/>
    <cellStyle name="40% - Accent6 6 2 26 2" xfId="40043"/>
    <cellStyle name="40% - Accent6 6 2 27" xfId="17924"/>
    <cellStyle name="40% - Accent6 6 2 27 2" xfId="40699"/>
    <cellStyle name="40% - Accent6 6 2 28" xfId="18580"/>
    <cellStyle name="40% - Accent6 6 2 28 2" xfId="41355"/>
    <cellStyle name="40% - Accent6 6 2 29" xfId="19236"/>
    <cellStyle name="40% - Accent6 6 2 29 2" xfId="42011"/>
    <cellStyle name="40% - Accent6 6 2 3" xfId="1196"/>
    <cellStyle name="40% - Accent6 6 2 3 2" xfId="2836"/>
    <cellStyle name="40% - Accent6 6 2 3 2 2" xfId="25611"/>
    <cellStyle name="40% - Accent6 6 2 3 3" xfId="23971"/>
    <cellStyle name="40% - Accent6 6 2 30" xfId="19892"/>
    <cellStyle name="40% - Accent6 6 2 30 2" xfId="42667"/>
    <cellStyle name="40% - Accent6 6 2 31" xfId="20548"/>
    <cellStyle name="40% - Accent6 6 2 31 2" xfId="43323"/>
    <cellStyle name="40% - Accent6 6 2 32" xfId="21204"/>
    <cellStyle name="40% - Accent6 6 2 32 2" xfId="43979"/>
    <cellStyle name="40% - Accent6 6 2 33" xfId="21860"/>
    <cellStyle name="40% - Accent6 6 2 33 2" xfId="44635"/>
    <cellStyle name="40% - Accent6 6 2 34" xfId="22516"/>
    <cellStyle name="40% - Accent6 6 2 34 2" xfId="45291"/>
    <cellStyle name="40% - Accent6 6 2 35" xfId="23315"/>
    <cellStyle name="40% - Accent6 6 2 4" xfId="1852"/>
    <cellStyle name="40% - Accent6 6 2 4 2" xfId="3492"/>
    <cellStyle name="40% - Accent6 6 2 4 2 2" xfId="26267"/>
    <cellStyle name="40% - Accent6 6 2 4 3" xfId="24627"/>
    <cellStyle name="40% - Accent6 6 2 5" xfId="4148"/>
    <cellStyle name="40% - Accent6 6 2 5 2" xfId="26923"/>
    <cellStyle name="40% - Accent6 6 2 6" xfId="4804"/>
    <cellStyle name="40% - Accent6 6 2 6 2" xfId="27579"/>
    <cellStyle name="40% - Accent6 6 2 7" xfId="5460"/>
    <cellStyle name="40% - Accent6 6 2 7 2" xfId="28235"/>
    <cellStyle name="40% - Accent6 6 2 8" xfId="6116"/>
    <cellStyle name="40% - Accent6 6 2 8 2" xfId="28891"/>
    <cellStyle name="40% - Accent6 6 2 9" xfId="2508"/>
    <cellStyle name="40% - Accent6 6 2 9 2" xfId="25283"/>
    <cellStyle name="40% - Accent6 6 20" xfId="12491"/>
    <cellStyle name="40% - Accent6 6 20 2" xfId="35266"/>
    <cellStyle name="40% - Accent6 6 21" xfId="13147"/>
    <cellStyle name="40% - Accent6 6 21 2" xfId="35922"/>
    <cellStyle name="40% - Accent6 6 22" xfId="13803"/>
    <cellStyle name="40% - Accent6 6 22 2" xfId="36578"/>
    <cellStyle name="40% - Accent6 6 23" xfId="14459"/>
    <cellStyle name="40% - Accent6 6 23 2" xfId="37234"/>
    <cellStyle name="40% - Accent6 6 24" xfId="15115"/>
    <cellStyle name="40% - Accent6 6 24 2" xfId="37890"/>
    <cellStyle name="40% - Accent6 6 25" xfId="15771"/>
    <cellStyle name="40% - Accent6 6 25 2" xfId="38546"/>
    <cellStyle name="40% - Accent6 6 26" xfId="16427"/>
    <cellStyle name="40% - Accent6 6 26 2" xfId="39202"/>
    <cellStyle name="40% - Accent6 6 27" xfId="17083"/>
    <cellStyle name="40% - Accent6 6 27 2" xfId="39858"/>
    <cellStyle name="40% - Accent6 6 28" xfId="17739"/>
    <cellStyle name="40% - Accent6 6 28 2" xfId="40514"/>
    <cellStyle name="40% - Accent6 6 29" xfId="18395"/>
    <cellStyle name="40% - Accent6 6 29 2" xfId="41170"/>
    <cellStyle name="40% - Accent6 6 3" xfId="683"/>
    <cellStyle name="40% - Accent6 6 3 10" xfId="8227"/>
    <cellStyle name="40% - Accent6 6 3 10 2" xfId="31002"/>
    <cellStyle name="40% - Accent6 6 3 11" xfId="8883"/>
    <cellStyle name="40% - Accent6 6 3 11 2" xfId="31658"/>
    <cellStyle name="40% - Accent6 6 3 12" xfId="9539"/>
    <cellStyle name="40% - Accent6 6 3 12 2" xfId="32314"/>
    <cellStyle name="40% - Accent6 6 3 13" xfId="10195"/>
    <cellStyle name="40% - Accent6 6 3 13 2" xfId="32970"/>
    <cellStyle name="40% - Accent6 6 3 14" xfId="10851"/>
    <cellStyle name="40% - Accent6 6 3 14 2" xfId="33626"/>
    <cellStyle name="40% - Accent6 6 3 15" xfId="11507"/>
    <cellStyle name="40% - Accent6 6 3 15 2" xfId="34282"/>
    <cellStyle name="40% - Accent6 6 3 16" xfId="12163"/>
    <cellStyle name="40% - Accent6 6 3 16 2" xfId="34938"/>
    <cellStyle name="40% - Accent6 6 3 17" xfId="12819"/>
    <cellStyle name="40% - Accent6 6 3 17 2" xfId="35594"/>
    <cellStyle name="40% - Accent6 6 3 18" xfId="13475"/>
    <cellStyle name="40% - Accent6 6 3 18 2" xfId="36250"/>
    <cellStyle name="40% - Accent6 6 3 19" xfId="14131"/>
    <cellStyle name="40% - Accent6 6 3 19 2" xfId="36906"/>
    <cellStyle name="40% - Accent6 6 3 2" xfId="1339"/>
    <cellStyle name="40% - Accent6 6 3 2 2" xfId="3635"/>
    <cellStyle name="40% - Accent6 6 3 2 2 2" xfId="26410"/>
    <cellStyle name="40% - Accent6 6 3 2 3" xfId="24114"/>
    <cellStyle name="40% - Accent6 6 3 20" xfId="14787"/>
    <cellStyle name="40% - Accent6 6 3 20 2" xfId="37562"/>
    <cellStyle name="40% - Accent6 6 3 21" xfId="15443"/>
    <cellStyle name="40% - Accent6 6 3 21 2" xfId="38218"/>
    <cellStyle name="40% - Accent6 6 3 22" xfId="16099"/>
    <cellStyle name="40% - Accent6 6 3 22 2" xfId="38874"/>
    <cellStyle name="40% - Accent6 6 3 23" xfId="16755"/>
    <cellStyle name="40% - Accent6 6 3 23 2" xfId="39530"/>
    <cellStyle name="40% - Accent6 6 3 24" xfId="17411"/>
    <cellStyle name="40% - Accent6 6 3 24 2" xfId="40186"/>
    <cellStyle name="40% - Accent6 6 3 25" xfId="18067"/>
    <cellStyle name="40% - Accent6 6 3 25 2" xfId="40842"/>
    <cellStyle name="40% - Accent6 6 3 26" xfId="18723"/>
    <cellStyle name="40% - Accent6 6 3 26 2" xfId="41498"/>
    <cellStyle name="40% - Accent6 6 3 27" xfId="19379"/>
    <cellStyle name="40% - Accent6 6 3 27 2" xfId="42154"/>
    <cellStyle name="40% - Accent6 6 3 28" xfId="20035"/>
    <cellStyle name="40% - Accent6 6 3 28 2" xfId="42810"/>
    <cellStyle name="40% - Accent6 6 3 29" xfId="20691"/>
    <cellStyle name="40% - Accent6 6 3 29 2" xfId="43466"/>
    <cellStyle name="40% - Accent6 6 3 3" xfId="1995"/>
    <cellStyle name="40% - Accent6 6 3 3 2" xfId="4291"/>
    <cellStyle name="40% - Accent6 6 3 3 2 2" xfId="27066"/>
    <cellStyle name="40% - Accent6 6 3 3 3" xfId="24770"/>
    <cellStyle name="40% - Accent6 6 3 30" xfId="21347"/>
    <cellStyle name="40% - Accent6 6 3 30 2" xfId="44122"/>
    <cellStyle name="40% - Accent6 6 3 31" xfId="22003"/>
    <cellStyle name="40% - Accent6 6 3 31 2" xfId="44778"/>
    <cellStyle name="40% - Accent6 6 3 32" xfId="22659"/>
    <cellStyle name="40% - Accent6 6 3 32 2" xfId="45434"/>
    <cellStyle name="40% - Accent6 6 3 33" xfId="23458"/>
    <cellStyle name="40% - Accent6 6 3 4" xfId="4947"/>
    <cellStyle name="40% - Accent6 6 3 4 2" xfId="27722"/>
    <cellStyle name="40% - Accent6 6 3 5" xfId="5603"/>
    <cellStyle name="40% - Accent6 6 3 5 2" xfId="28378"/>
    <cellStyle name="40% - Accent6 6 3 6" xfId="6259"/>
    <cellStyle name="40% - Accent6 6 3 6 2" xfId="29034"/>
    <cellStyle name="40% - Accent6 6 3 7" xfId="2979"/>
    <cellStyle name="40% - Accent6 6 3 7 2" xfId="25754"/>
    <cellStyle name="40% - Accent6 6 3 8" xfId="6915"/>
    <cellStyle name="40% - Accent6 6 3 8 2" xfId="29690"/>
    <cellStyle name="40% - Accent6 6 3 9" xfId="7571"/>
    <cellStyle name="40% - Accent6 6 3 9 2" xfId="30346"/>
    <cellStyle name="40% - Accent6 6 30" xfId="19051"/>
    <cellStyle name="40% - Accent6 6 30 2" xfId="41826"/>
    <cellStyle name="40% - Accent6 6 31" xfId="19707"/>
    <cellStyle name="40% - Accent6 6 31 2" xfId="42482"/>
    <cellStyle name="40% - Accent6 6 32" xfId="20363"/>
    <cellStyle name="40% - Accent6 6 32 2" xfId="43138"/>
    <cellStyle name="40% - Accent6 6 33" xfId="21019"/>
    <cellStyle name="40% - Accent6 6 33 2" xfId="43794"/>
    <cellStyle name="40% - Accent6 6 34" xfId="21675"/>
    <cellStyle name="40% - Accent6 6 34 2" xfId="44450"/>
    <cellStyle name="40% - Accent6 6 35" xfId="22331"/>
    <cellStyle name="40% - Accent6 6 35 2" xfId="45106"/>
    <cellStyle name="40% - Accent6 6 36" xfId="270"/>
    <cellStyle name="40% - Accent6 6 37" xfId="22987"/>
    <cellStyle name="40% - Accent6 6 4" xfId="356"/>
    <cellStyle name="40% - Accent6 6 4 2" xfId="2651"/>
    <cellStyle name="40% - Accent6 6 4 2 2" xfId="25426"/>
    <cellStyle name="40% - Accent6 6 4 3" xfId="23130"/>
    <cellStyle name="40% - Accent6 6 5" xfId="1011"/>
    <cellStyle name="40% - Accent6 6 5 2" xfId="3307"/>
    <cellStyle name="40% - Accent6 6 5 2 2" xfId="26082"/>
    <cellStyle name="40% - Accent6 6 5 3" xfId="23786"/>
    <cellStyle name="40% - Accent6 6 6" xfId="1667"/>
    <cellStyle name="40% - Accent6 6 6 2" xfId="3963"/>
    <cellStyle name="40% - Accent6 6 6 2 2" xfId="26738"/>
    <cellStyle name="40% - Accent6 6 6 3" xfId="24442"/>
    <cellStyle name="40% - Accent6 6 7" xfId="4619"/>
    <cellStyle name="40% - Accent6 6 7 2" xfId="27394"/>
    <cellStyle name="40% - Accent6 6 8" xfId="5275"/>
    <cellStyle name="40% - Accent6 6 8 2" xfId="28050"/>
    <cellStyle name="40% - Accent6 6 9" xfId="5931"/>
    <cellStyle name="40% - Accent6 6 9 2" xfId="28706"/>
    <cellStyle name="40% - Accent6 7" xfId="429"/>
    <cellStyle name="40% - Accent6 7 10" xfId="6660"/>
    <cellStyle name="40% - Accent6 7 10 2" xfId="29435"/>
    <cellStyle name="40% - Accent6 7 11" xfId="7316"/>
    <cellStyle name="40% - Accent6 7 11 2" xfId="30091"/>
    <cellStyle name="40% - Accent6 7 12" xfId="7972"/>
    <cellStyle name="40% - Accent6 7 12 2" xfId="30747"/>
    <cellStyle name="40% - Accent6 7 13" xfId="8628"/>
    <cellStyle name="40% - Accent6 7 13 2" xfId="31403"/>
    <cellStyle name="40% - Accent6 7 14" xfId="9284"/>
    <cellStyle name="40% - Accent6 7 14 2" xfId="32059"/>
    <cellStyle name="40% - Accent6 7 15" xfId="9940"/>
    <cellStyle name="40% - Accent6 7 15 2" xfId="32715"/>
    <cellStyle name="40% - Accent6 7 16" xfId="10596"/>
    <cellStyle name="40% - Accent6 7 16 2" xfId="33371"/>
    <cellStyle name="40% - Accent6 7 17" xfId="11252"/>
    <cellStyle name="40% - Accent6 7 17 2" xfId="34027"/>
    <cellStyle name="40% - Accent6 7 18" xfId="11908"/>
    <cellStyle name="40% - Accent6 7 18 2" xfId="34683"/>
    <cellStyle name="40% - Accent6 7 19" xfId="12564"/>
    <cellStyle name="40% - Accent6 7 19 2" xfId="35339"/>
    <cellStyle name="40% - Accent6 7 2" xfId="756"/>
    <cellStyle name="40% - Accent6 7 2 10" xfId="8300"/>
    <cellStyle name="40% - Accent6 7 2 10 2" xfId="31075"/>
    <cellStyle name="40% - Accent6 7 2 11" xfId="8956"/>
    <cellStyle name="40% - Accent6 7 2 11 2" xfId="31731"/>
    <cellStyle name="40% - Accent6 7 2 12" xfId="9612"/>
    <cellStyle name="40% - Accent6 7 2 12 2" xfId="32387"/>
    <cellStyle name="40% - Accent6 7 2 13" xfId="10268"/>
    <cellStyle name="40% - Accent6 7 2 13 2" xfId="33043"/>
    <cellStyle name="40% - Accent6 7 2 14" xfId="10924"/>
    <cellStyle name="40% - Accent6 7 2 14 2" xfId="33699"/>
    <cellStyle name="40% - Accent6 7 2 15" xfId="11580"/>
    <cellStyle name="40% - Accent6 7 2 15 2" xfId="34355"/>
    <cellStyle name="40% - Accent6 7 2 16" xfId="12236"/>
    <cellStyle name="40% - Accent6 7 2 16 2" xfId="35011"/>
    <cellStyle name="40% - Accent6 7 2 17" xfId="12892"/>
    <cellStyle name="40% - Accent6 7 2 17 2" xfId="35667"/>
    <cellStyle name="40% - Accent6 7 2 18" xfId="13548"/>
    <cellStyle name="40% - Accent6 7 2 18 2" xfId="36323"/>
    <cellStyle name="40% - Accent6 7 2 19" xfId="14204"/>
    <cellStyle name="40% - Accent6 7 2 19 2" xfId="36979"/>
    <cellStyle name="40% - Accent6 7 2 2" xfId="1412"/>
    <cellStyle name="40% - Accent6 7 2 2 2" xfId="3708"/>
    <cellStyle name="40% - Accent6 7 2 2 2 2" xfId="26483"/>
    <cellStyle name="40% - Accent6 7 2 2 3" xfId="24187"/>
    <cellStyle name="40% - Accent6 7 2 20" xfId="14860"/>
    <cellStyle name="40% - Accent6 7 2 20 2" xfId="37635"/>
    <cellStyle name="40% - Accent6 7 2 21" xfId="15516"/>
    <cellStyle name="40% - Accent6 7 2 21 2" xfId="38291"/>
    <cellStyle name="40% - Accent6 7 2 22" xfId="16172"/>
    <cellStyle name="40% - Accent6 7 2 22 2" xfId="38947"/>
    <cellStyle name="40% - Accent6 7 2 23" xfId="16828"/>
    <cellStyle name="40% - Accent6 7 2 23 2" xfId="39603"/>
    <cellStyle name="40% - Accent6 7 2 24" xfId="17484"/>
    <cellStyle name="40% - Accent6 7 2 24 2" xfId="40259"/>
    <cellStyle name="40% - Accent6 7 2 25" xfId="18140"/>
    <cellStyle name="40% - Accent6 7 2 25 2" xfId="40915"/>
    <cellStyle name="40% - Accent6 7 2 26" xfId="18796"/>
    <cellStyle name="40% - Accent6 7 2 26 2" xfId="41571"/>
    <cellStyle name="40% - Accent6 7 2 27" xfId="19452"/>
    <cellStyle name="40% - Accent6 7 2 27 2" xfId="42227"/>
    <cellStyle name="40% - Accent6 7 2 28" xfId="20108"/>
    <cellStyle name="40% - Accent6 7 2 28 2" xfId="42883"/>
    <cellStyle name="40% - Accent6 7 2 29" xfId="20764"/>
    <cellStyle name="40% - Accent6 7 2 29 2" xfId="43539"/>
    <cellStyle name="40% - Accent6 7 2 3" xfId="2068"/>
    <cellStyle name="40% - Accent6 7 2 3 2" xfId="4364"/>
    <cellStyle name="40% - Accent6 7 2 3 2 2" xfId="27139"/>
    <cellStyle name="40% - Accent6 7 2 3 3" xfId="24843"/>
    <cellStyle name="40% - Accent6 7 2 30" xfId="21420"/>
    <cellStyle name="40% - Accent6 7 2 30 2" xfId="44195"/>
    <cellStyle name="40% - Accent6 7 2 31" xfId="22076"/>
    <cellStyle name="40% - Accent6 7 2 31 2" xfId="44851"/>
    <cellStyle name="40% - Accent6 7 2 32" xfId="22732"/>
    <cellStyle name="40% - Accent6 7 2 32 2" xfId="45507"/>
    <cellStyle name="40% - Accent6 7 2 33" xfId="23531"/>
    <cellStyle name="40% - Accent6 7 2 4" xfId="5020"/>
    <cellStyle name="40% - Accent6 7 2 4 2" xfId="27795"/>
    <cellStyle name="40% - Accent6 7 2 5" xfId="5676"/>
    <cellStyle name="40% - Accent6 7 2 5 2" xfId="28451"/>
    <cellStyle name="40% - Accent6 7 2 6" xfId="6332"/>
    <cellStyle name="40% - Accent6 7 2 6 2" xfId="29107"/>
    <cellStyle name="40% - Accent6 7 2 7" xfId="3052"/>
    <cellStyle name="40% - Accent6 7 2 7 2" xfId="25827"/>
    <cellStyle name="40% - Accent6 7 2 8" xfId="6988"/>
    <cellStyle name="40% - Accent6 7 2 8 2" xfId="29763"/>
    <cellStyle name="40% - Accent6 7 2 9" xfId="7644"/>
    <cellStyle name="40% - Accent6 7 2 9 2" xfId="30419"/>
    <cellStyle name="40% - Accent6 7 20" xfId="13220"/>
    <cellStyle name="40% - Accent6 7 20 2" xfId="35995"/>
    <cellStyle name="40% - Accent6 7 21" xfId="13876"/>
    <cellStyle name="40% - Accent6 7 21 2" xfId="36651"/>
    <cellStyle name="40% - Accent6 7 22" xfId="14532"/>
    <cellStyle name="40% - Accent6 7 22 2" xfId="37307"/>
    <cellStyle name="40% - Accent6 7 23" xfId="15188"/>
    <cellStyle name="40% - Accent6 7 23 2" xfId="37963"/>
    <cellStyle name="40% - Accent6 7 24" xfId="15844"/>
    <cellStyle name="40% - Accent6 7 24 2" xfId="38619"/>
    <cellStyle name="40% - Accent6 7 25" xfId="16500"/>
    <cellStyle name="40% - Accent6 7 25 2" xfId="39275"/>
    <cellStyle name="40% - Accent6 7 26" xfId="17156"/>
    <cellStyle name="40% - Accent6 7 26 2" xfId="39931"/>
    <cellStyle name="40% - Accent6 7 27" xfId="17812"/>
    <cellStyle name="40% - Accent6 7 27 2" xfId="40587"/>
    <cellStyle name="40% - Accent6 7 28" xfId="18468"/>
    <cellStyle name="40% - Accent6 7 28 2" xfId="41243"/>
    <cellStyle name="40% - Accent6 7 29" xfId="19124"/>
    <cellStyle name="40% - Accent6 7 29 2" xfId="41899"/>
    <cellStyle name="40% - Accent6 7 3" xfId="1084"/>
    <cellStyle name="40% - Accent6 7 3 2" xfId="2724"/>
    <cellStyle name="40% - Accent6 7 3 2 2" xfId="25499"/>
    <cellStyle name="40% - Accent6 7 3 3" xfId="23859"/>
    <cellStyle name="40% - Accent6 7 30" xfId="19780"/>
    <cellStyle name="40% - Accent6 7 30 2" xfId="42555"/>
    <cellStyle name="40% - Accent6 7 31" xfId="20436"/>
    <cellStyle name="40% - Accent6 7 31 2" xfId="43211"/>
    <cellStyle name="40% - Accent6 7 32" xfId="21092"/>
    <cellStyle name="40% - Accent6 7 32 2" xfId="43867"/>
    <cellStyle name="40% - Accent6 7 33" xfId="21748"/>
    <cellStyle name="40% - Accent6 7 33 2" xfId="44523"/>
    <cellStyle name="40% - Accent6 7 34" xfId="22404"/>
    <cellStyle name="40% - Accent6 7 34 2" xfId="45179"/>
    <cellStyle name="40% - Accent6 7 35" xfId="23203"/>
    <cellStyle name="40% - Accent6 7 4" xfId="1740"/>
    <cellStyle name="40% - Accent6 7 4 2" xfId="3380"/>
    <cellStyle name="40% - Accent6 7 4 2 2" xfId="26155"/>
    <cellStyle name="40% - Accent6 7 4 3" xfId="24515"/>
    <cellStyle name="40% - Accent6 7 5" xfId="4036"/>
    <cellStyle name="40% - Accent6 7 5 2" xfId="26811"/>
    <cellStyle name="40% - Accent6 7 6" xfId="4692"/>
    <cellStyle name="40% - Accent6 7 6 2" xfId="27467"/>
    <cellStyle name="40% - Accent6 7 7" xfId="5348"/>
    <cellStyle name="40% - Accent6 7 7 2" xfId="28123"/>
    <cellStyle name="40% - Accent6 7 8" xfId="6004"/>
    <cellStyle name="40% - Accent6 7 8 2" xfId="28779"/>
    <cellStyle name="40% - Accent6 7 9" xfId="2396"/>
    <cellStyle name="40% - Accent6 7 9 2" xfId="25171"/>
    <cellStyle name="40% - Accent6 8" xfId="443"/>
    <cellStyle name="40% - Accent6 8 10" xfId="6674"/>
    <cellStyle name="40% - Accent6 8 10 2" xfId="29449"/>
    <cellStyle name="40% - Accent6 8 11" xfId="7330"/>
    <cellStyle name="40% - Accent6 8 11 2" xfId="30105"/>
    <cellStyle name="40% - Accent6 8 12" xfId="7986"/>
    <cellStyle name="40% - Accent6 8 12 2" xfId="30761"/>
    <cellStyle name="40% - Accent6 8 13" xfId="8642"/>
    <cellStyle name="40% - Accent6 8 13 2" xfId="31417"/>
    <cellStyle name="40% - Accent6 8 14" xfId="9298"/>
    <cellStyle name="40% - Accent6 8 14 2" xfId="32073"/>
    <cellStyle name="40% - Accent6 8 15" xfId="9954"/>
    <cellStyle name="40% - Accent6 8 15 2" xfId="32729"/>
    <cellStyle name="40% - Accent6 8 16" xfId="10610"/>
    <cellStyle name="40% - Accent6 8 16 2" xfId="33385"/>
    <cellStyle name="40% - Accent6 8 17" xfId="11266"/>
    <cellStyle name="40% - Accent6 8 17 2" xfId="34041"/>
    <cellStyle name="40% - Accent6 8 18" xfId="11922"/>
    <cellStyle name="40% - Accent6 8 18 2" xfId="34697"/>
    <cellStyle name="40% - Accent6 8 19" xfId="12578"/>
    <cellStyle name="40% - Accent6 8 19 2" xfId="35353"/>
    <cellStyle name="40% - Accent6 8 2" xfId="770"/>
    <cellStyle name="40% - Accent6 8 2 10" xfId="8314"/>
    <cellStyle name="40% - Accent6 8 2 10 2" xfId="31089"/>
    <cellStyle name="40% - Accent6 8 2 11" xfId="8970"/>
    <cellStyle name="40% - Accent6 8 2 11 2" xfId="31745"/>
    <cellStyle name="40% - Accent6 8 2 12" xfId="9626"/>
    <cellStyle name="40% - Accent6 8 2 12 2" xfId="32401"/>
    <cellStyle name="40% - Accent6 8 2 13" xfId="10282"/>
    <cellStyle name="40% - Accent6 8 2 13 2" xfId="33057"/>
    <cellStyle name="40% - Accent6 8 2 14" xfId="10938"/>
    <cellStyle name="40% - Accent6 8 2 14 2" xfId="33713"/>
    <cellStyle name="40% - Accent6 8 2 15" xfId="11594"/>
    <cellStyle name="40% - Accent6 8 2 15 2" xfId="34369"/>
    <cellStyle name="40% - Accent6 8 2 16" xfId="12250"/>
    <cellStyle name="40% - Accent6 8 2 16 2" xfId="35025"/>
    <cellStyle name="40% - Accent6 8 2 17" xfId="12906"/>
    <cellStyle name="40% - Accent6 8 2 17 2" xfId="35681"/>
    <cellStyle name="40% - Accent6 8 2 18" xfId="13562"/>
    <cellStyle name="40% - Accent6 8 2 18 2" xfId="36337"/>
    <cellStyle name="40% - Accent6 8 2 19" xfId="14218"/>
    <cellStyle name="40% - Accent6 8 2 19 2" xfId="36993"/>
    <cellStyle name="40% - Accent6 8 2 2" xfId="1426"/>
    <cellStyle name="40% - Accent6 8 2 2 2" xfId="3722"/>
    <cellStyle name="40% - Accent6 8 2 2 2 2" xfId="26497"/>
    <cellStyle name="40% - Accent6 8 2 2 3" xfId="24201"/>
    <cellStyle name="40% - Accent6 8 2 20" xfId="14874"/>
    <cellStyle name="40% - Accent6 8 2 20 2" xfId="37649"/>
    <cellStyle name="40% - Accent6 8 2 21" xfId="15530"/>
    <cellStyle name="40% - Accent6 8 2 21 2" xfId="38305"/>
    <cellStyle name="40% - Accent6 8 2 22" xfId="16186"/>
    <cellStyle name="40% - Accent6 8 2 22 2" xfId="38961"/>
    <cellStyle name="40% - Accent6 8 2 23" xfId="16842"/>
    <cellStyle name="40% - Accent6 8 2 23 2" xfId="39617"/>
    <cellStyle name="40% - Accent6 8 2 24" xfId="17498"/>
    <cellStyle name="40% - Accent6 8 2 24 2" xfId="40273"/>
    <cellStyle name="40% - Accent6 8 2 25" xfId="18154"/>
    <cellStyle name="40% - Accent6 8 2 25 2" xfId="40929"/>
    <cellStyle name="40% - Accent6 8 2 26" xfId="18810"/>
    <cellStyle name="40% - Accent6 8 2 26 2" xfId="41585"/>
    <cellStyle name="40% - Accent6 8 2 27" xfId="19466"/>
    <cellStyle name="40% - Accent6 8 2 27 2" xfId="42241"/>
    <cellStyle name="40% - Accent6 8 2 28" xfId="20122"/>
    <cellStyle name="40% - Accent6 8 2 28 2" xfId="42897"/>
    <cellStyle name="40% - Accent6 8 2 29" xfId="20778"/>
    <cellStyle name="40% - Accent6 8 2 29 2" xfId="43553"/>
    <cellStyle name="40% - Accent6 8 2 3" xfId="2082"/>
    <cellStyle name="40% - Accent6 8 2 3 2" xfId="4378"/>
    <cellStyle name="40% - Accent6 8 2 3 2 2" xfId="27153"/>
    <cellStyle name="40% - Accent6 8 2 3 3" xfId="24857"/>
    <cellStyle name="40% - Accent6 8 2 30" xfId="21434"/>
    <cellStyle name="40% - Accent6 8 2 30 2" xfId="44209"/>
    <cellStyle name="40% - Accent6 8 2 31" xfId="22090"/>
    <cellStyle name="40% - Accent6 8 2 31 2" xfId="44865"/>
    <cellStyle name="40% - Accent6 8 2 32" xfId="22746"/>
    <cellStyle name="40% - Accent6 8 2 32 2" xfId="45521"/>
    <cellStyle name="40% - Accent6 8 2 33" xfId="23545"/>
    <cellStyle name="40% - Accent6 8 2 4" xfId="5034"/>
    <cellStyle name="40% - Accent6 8 2 4 2" xfId="27809"/>
    <cellStyle name="40% - Accent6 8 2 5" xfId="5690"/>
    <cellStyle name="40% - Accent6 8 2 5 2" xfId="28465"/>
    <cellStyle name="40% - Accent6 8 2 6" xfId="6346"/>
    <cellStyle name="40% - Accent6 8 2 6 2" xfId="29121"/>
    <cellStyle name="40% - Accent6 8 2 7" xfId="3066"/>
    <cellStyle name="40% - Accent6 8 2 7 2" xfId="25841"/>
    <cellStyle name="40% - Accent6 8 2 8" xfId="7002"/>
    <cellStyle name="40% - Accent6 8 2 8 2" xfId="29777"/>
    <cellStyle name="40% - Accent6 8 2 9" xfId="7658"/>
    <cellStyle name="40% - Accent6 8 2 9 2" xfId="30433"/>
    <cellStyle name="40% - Accent6 8 20" xfId="13234"/>
    <cellStyle name="40% - Accent6 8 20 2" xfId="36009"/>
    <cellStyle name="40% - Accent6 8 21" xfId="13890"/>
    <cellStyle name="40% - Accent6 8 21 2" xfId="36665"/>
    <cellStyle name="40% - Accent6 8 22" xfId="14546"/>
    <cellStyle name="40% - Accent6 8 22 2" xfId="37321"/>
    <cellStyle name="40% - Accent6 8 23" xfId="15202"/>
    <cellStyle name="40% - Accent6 8 23 2" xfId="37977"/>
    <cellStyle name="40% - Accent6 8 24" xfId="15858"/>
    <cellStyle name="40% - Accent6 8 24 2" xfId="38633"/>
    <cellStyle name="40% - Accent6 8 25" xfId="16514"/>
    <cellStyle name="40% - Accent6 8 25 2" xfId="39289"/>
    <cellStyle name="40% - Accent6 8 26" xfId="17170"/>
    <cellStyle name="40% - Accent6 8 26 2" xfId="39945"/>
    <cellStyle name="40% - Accent6 8 27" xfId="17826"/>
    <cellStyle name="40% - Accent6 8 27 2" xfId="40601"/>
    <cellStyle name="40% - Accent6 8 28" xfId="18482"/>
    <cellStyle name="40% - Accent6 8 28 2" xfId="41257"/>
    <cellStyle name="40% - Accent6 8 29" xfId="19138"/>
    <cellStyle name="40% - Accent6 8 29 2" xfId="41913"/>
    <cellStyle name="40% - Accent6 8 3" xfId="1098"/>
    <cellStyle name="40% - Accent6 8 3 2" xfId="2738"/>
    <cellStyle name="40% - Accent6 8 3 2 2" xfId="25513"/>
    <cellStyle name="40% - Accent6 8 3 3" xfId="23873"/>
    <cellStyle name="40% - Accent6 8 30" xfId="19794"/>
    <cellStyle name="40% - Accent6 8 30 2" xfId="42569"/>
    <cellStyle name="40% - Accent6 8 31" xfId="20450"/>
    <cellStyle name="40% - Accent6 8 31 2" xfId="43225"/>
    <cellStyle name="40% - Accent6 8 32" xfId="21106"/>
    <cellStyle name="40% - Accent6 8 32 2" xfId="43881"/>
    <cellStyle name="40% - Accent6 8 33" xfId="21762"/>
    <cellStyle name="40% - Accent6 8 33 2" xfId="44537"/>
    <cellStyle name="40% - Accent6 8 34" xfId="22418"/>
    <cellStyle name="40% - Accent6 8 34 2" xfId="45193"/>
    <cellStyle name="40% - Accent6 8 35" xfId="23217"/>
    <cellStyle name="40% - Accent6 8 4" xfId="1754"/>
    <cellStyle name="40% - Accent6 8 4 2" xfId="3394"/>
    <cellStyle name="40% - Accent6 8 4 2 2" xfId="26169"/>
    <cellStyle name="40% - Accent6 8 4 3" xfId="24529"/>
    <cellStyle name="40% - Accent6 8 5" xfId="4050"/>
    <cellStyle name="40% - Accent6 8 5 2" xfId="26825"/>
    <cellStyle name="40% - Accent6 8 6" xfId="4706"/>
    <cellStyle name="40% - Accent6 8 6 2" xfId="27481"/>
    <cellStyle name="40% - Accent6 8 7" xfId="5362"/>
    <cellStyle name="40% - Accent6 8 7 2" xfId="28137"/>
    <cellStyle name="40% - Accent6 8 8" xfId="6018"/>
    <cellStyle name="40% - Accent6 8 8 2" xfId="28793"/>
    <cellStyle name="40% - Accent6 8 9" xfId="2410"/>
    <cellStyle name="40% - Accent6 8 9 2" xfId="25185"/>
    <cellStyle name="40% - Accent6 9" xfId="457"/>
    <cellStyle name="40% - Accent6 9 10" xfId="6688"/>
    <cellStyle name="40% - Accent6 9 10 2" xfId="29463"/>
    <cellStyle name="40% - Accent6 9 11" xfId="7344"/>
    <cellStyle name="40% - Accent6 9 11 2" xfId="30119"/>
    <cellStyle name="40% - Accent6 9 12" xfId="8000"/>
    <cellStyle name="40% - Accent6 9 12 2" xfId="30775"/>
    <cellStyle name="40% - Accent6 9 13" xfId="8656"/>
    <cellStyle name="40% - Accent6 9 13 2" xfId="31431"/>
    <cellStyle name="40% - Accent6 9 14" xfId="9312"/>
    <cellStyle name="40% - Accent6 9 14 2" xfId="32087"/>
    <cellStyle name="40% - Accent6 9 15" xfId="9968"/>
    <cellStyle name="40% - Accent6 9 15 2" xfId="32743"/>
    <cellStyle name="40% - Accent6 9 16" xfId="10624"/>
    <cellStyle name="40% - Accent6 9 16 2" xfId="33399"/>
    <cellStyle name="40% - Accent6 9 17" xfId="11280"/>
    <cellStyle name="40% - Accent6 9 17 2" xfId="34055"/>
    <cellStyle name="40% - Accent6 9 18" xfId="11936"/>
    <cellStyle name="40% - Accent6 9 18 2" xfId="34711"/>
    <cellStyle name="40% - Accent6 9 19" xfId="12592"/>
    <cellStyle name="40% - Accent6 9 19 2" xfId="35367"/>
    <cellStyle name="40% - Accent6 9 2" xfId="784"/>
    <cellStyle name="40% - Accent6 9 2 10" xfId="8328"/>
    <cellStyle name="40% - Accent6 9 2 10 2" xfId="31103"/>
    <cellStyle name="40% - Accent6 9 2 11" xfId="8984"/>
    <cellStyle name="40% - Accent6 9 2 11 2" xfId="31759"/>
    <cellStyle name="40% - Accent6 9 2 12" xfId="9640"/>
    <cellStyle name="40% - Accent6 9 2 12 2" xfId="32415"/>
    <cellStyle name="40% - Accent6 9 2 13" xfId="10296"/>
    <cellStyle name="40% - Accent6 9 2 13 2" xfId="33071"/>
    <cellStyle name="40% - Accent6 9 2 14" xfId="10952"/>
    <cellStyle name="40% - Accent6 9 2 14 2" xfId="33727"/>
    <cellStyle name="40% - Accent6 9 2 15" xfId="11608"/>
    <cellStyle name="40% - Accent6 9 2 15 2" xfId="34383"/>
    <cellStyle name="40% - Accent6 9 2 16" xfId="12264"/>
    <cellStyle name="40% - Accent6 9 2 16 2" xfId="35039"/>
    <cellStyle name="40% - Accent6 9 2 17" xfId="12920"/>
    <cellStyle name="40% - Accent6 9 2 17 2" xfId="35695"/>
    <cellStyle name="40% - Accent6 9 2 18" xfId="13576"/>
    <cellStyle name="40% - Accent6 9 2 18 2" xfId="36351"/>
    <cellStyle name="40% - Accent6 9 2 19" xfId="14232"/>
    <cellStyle name="40% - Accent6 9 2 19 2" xfId="37007"/>
    <cellStyle name="40% - Accent6 9 2 2" xfId="1440"/>
    <cellStyle name="40% - Accent6 9 2 2 2" xfId="3736"/>
    <cellStyle name="40% - Accent6 9 2 2 2 2" xfId="26511"/>
    <cellStyle name="40% - Accent6 9 2 2 3" xfId="24215"/>
    <cellStyle name="40% - Accent6 9 2 20" xfId="14888"/>
    <cellStyle name="40% - Accent6 9 2 20 2" xfId="37663"/>
    <cellStyle name="40% - Accent6 9 2 21" xfId="15544"/>
    <cellStyle name="40% - Accent6 9 2 21 2" xfId="38319"/>
    <cellStyle name="40% - Accent6 9 2 22" xfId="16200"/>
    <cellStyle name="40% - Accent6 9 2 22 2" xfId="38975"/>
    <cellStyle name="40% - Accent6 9 2 23" xfId="16856"/>
    <cellStyle name="40% - Accent6 9 2 23 2" xfId="39631"/>
    <cellStyle name="40% - Accent6 9 2 24" xfId="17512"/>
    <cellStyle name="40% - Accent6 9 2 24 2" xfId="40287"/>
    <cellStyle name="40% - Accent6 9 2 25" xfId="18168"/>
    <cellStyle name="40% - Accent6 9 2 25 2" xfId="40943"/>
    <cellStyle name="40% - Accent6 9 2 26" xfId="18824"/>
    <cellStyle name="40% - Accent6 9 2 26 2" xfId="41599"/>
    <cellStyle name="40% - Accent6 9 2 27" xfId="19480"/>
    <cellStyle name="40% - Accent6 9 2 27 2" xfId="42255"/>
    <cellStyle name="40% - Accent6 9 2 28" xfId="20136"/>
    <cellStyle name="40% - Accent6 9 2 28 2" xfId="42911"/>
    <cellStyle name="40% - Accent6 9 2 29" xfId="20792"/>
    <cellStyle name="40% - Accent6 9 2 29 2" xfId="43567"/>
    <cellStyle name="40% - Accent6 9 2 3" xfId="2096"/>
    <cellStyle name="40% - Accent6 9 2 3 2" xfId="4392"/>
    <cellStyle name="40% - Accent6 9 2 3 2 2" xfId="27167"/>
    <cellStyle name="40% - Accent6 9 2 3 3" xfId="24871"/>
    <cellStyle name="40% - Accent6 9 2 30" xfId="21448"/>
    <cellStyle name="40% - Accent6 9 2 30 2" xfId="44223"/>
    <cellStyle name="40% - Accent6 9 2 31" xfId="22104"/>
    <cellStyle name="40% - Accent6 9 2 31 2" xfId="44879"/>
    <cellStyle name="40% - Accent6 9 2 32" xfId="22760"/>
    <cellStyle name="40% - Accent6 9 2 32 2" xfId="45535"/>
    <cellStyle name="40% - Accent6 9 2 33" xfId="23559"/>
    <cellStyle name="40% - Accent6 9 2 4" xfId="5048"/>
    <cellStyle name="40% - Accent6 9 2 4 2" xfId="27823"/>
    <cellStyle name="40% - Accent6 9 2 5" xfId="5704"/>
    <cellStyle name="40% - Accent6 9 2 5 2" xfId="28479"/>
    <cellStyle name="40% - Accent6 9 2 6" xfId="6360"/>
    <cellStyle name="40% - Accent6 9 2 6 2" xfId="29135"/>
    <cellStyle name="40% - Accent6 9 2 7" xfId="3080"/>
    <cellStyle name="40% - Accent6 9 2 7 2" xfId="25855"/>
    <cellStyle name="40% - Accent6 9 2 8" xfId="7016"/>
    <cellStyle name="40% - Accent6 9 2 8 2" xfId="29791"/>
    <cellStyle name="40% - Accent6 9 2 9" xfId="7672"/>
    <cellStyle name="40% - Accent6 9 2 9 2" xfId="30447"/>
    <cellStyle name="40% - Accent6 9 20" xfId="13248"/>
    <cellStyle name="40% - Accent6 9 20 2" xfId="36023"/>
    <cellStyle name="40% - Accent6 9 21" xfId="13904"/>
    <cellStyle name="40% - Accent6 9 21 2" xfId="36679"/>
    <cellStyle name="40% - Accent6 9 22" xfId="14560"/>
    <cellStyle name="40% - Accent6 9 22 2" xfId="37335"/>
    <cellStyle name="40% - Accent6 9 23" xfId="15216"/>
    <cellStyle name="40% - Accent6 9 23 2" xfId="37991"/>
    <cellStyle name="40% - Accent6 9 24" xfId="15872"/>
    <cellStyle name="40% - Accent6 9 24 2" xfId="38647"/>
    <cellStyle name="40% - Accent6 9 25" xfId="16528"/>
    <cellStyle name="40% - Accent6 9 25 2" xfId="39303"/>
    <cellStyle name="40% - Accent6 9 26" xfId="17184"/>
    <cellStyle name="40% - Accent6 9 26 2" xfId="39959"/>
    <cellStyle name="40% - Accent6 9 27" xfId="17840"/>
    <cellStyle name="40% - Accent6 9 27 2" xfId="40615"/>
    <cellStyle name="40% - Accent6 9 28" xfId="18496"/>
    <cellStyle name="40% - Accent6 9 28 2" xfId="41271"/>
    <cellStyle name="40% - Accent6 9 29" xfId="19152"/>
    <cellStyle name="40% - Accent6 9 29 2" xfId="41927"/>
    <cellStyle name="40% - Accent6 9 3" xfId="1112"/>
    <cellStyle name="40% - Accent6 9 3 2" xfId="2752"/>
    <cellStyle name="40% - Accent6 9 3 2 2" xfId="25527"/>
    <cellStyle name="40% - Accent6 9 3 3" xfId="23887"/>
    <cellStyle name="40% - Accent6 9 30" xfId="19808"/>
    <cellStyle name="40% - Accent6 9 30 2" xfId="42583"/>
    <cellStyle name="40% - Accent6 9 31" xfId="20464"/>
    <cellStyle name="40% - Accent6 9 31 2" xfId="43239"/>
    <cellStyle name="40% - Accent6 9 32" xfId="21120"/>
    <cellStyle name="40% - Accent6 9 32 2" xfId="43895"/>
    <cellStyle name="40% - Accent6 9 33" xfId="21776"/>
    <cellStyle name="40% - Accent6 9 33 2" xfId="44551"/>
    <cellStyle name="40% - Accent6 9 34" xfId="22432"/>
    <cellStyle name="40% - Accent6 9 34 2" xfId="45207"/>
    <cellStyle name="40% - Accent6 9 35" xfId="23231"/>
    <cellStyle name="40% - Accent6 9 4" xfId="1768"/>
    <cellStyle name="40% - Accent6 9 4 2" xfId="3408"/>
    <cellStyle name="40% - Accent6 9 4 2 2" xfId="26183"/>
    <cellStyle name="40% - Accent6 9 4 3" xfId="24543"/>
    <cellStyle name="40% - Accent6 9 5" xfId="4064"/>
    <cellStyle name="40% - Accent6 9 5 2" xfId="26839"/>
    <cellStyle name="40% - Accent6 9 6" xfId="4720"/>
    <cellStyle name="40% - Accent6 9 6 2" xfId="27495"/>
    <cellStyle name="40% - Accent6 9 7" xfId="5376"/>
    <cellStyle name="40% - Accent6 9 7 2" xfId="28151"/>
    <cellStyle name="40% - Accent6 9 8" xfId="6032"/>
    <cellStyle name="40% - Accent6 9 8 2" xfId="28807"/>
    <cellStyle name="40% - Accent6 9 9" xfId="2424"/>
    <cellStyle name="40% - Accent6 9 9 2" xfId="2519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8"/>
    <cellStyle name="Comma 2 2" xfId="126"/>
    <cellStyle name="Currency" xfId="2" builtinId="4"/>
    <cellStyle name="Currency 2" xfId="599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85"/>
    <cellStyle name="Normal 10 10" xfId="6661"/>
    <cellStyle name="Normal 10 10 2" xfId="29436"/>
    <cellStyle name="Normal 10 11" xfId="7317"/>
    <cellStyle name="Normal 10 11 2" xfId="30092"/>
    <cellStyle name="Normal 10 12" xfId="7973"/>
    <cellStyle name="Normal 10 12 2" xfId="30748"/>
    <cellStyle name="Normal 10 13" xfId="8629"/>
    <cellStyle name="Normal 10 13 2" xfId="31404"/>
    <cellStyle name="Normal 10 14" xfId="9285"/>
    <cellStyle name="Normal 10 14 2" xfId="32060"/>
    <cellStyle name="Normal 10 15" xfId="9941"/>
    <cellStyle name="Normal 10 15 2" xfId="32716"/>
    <cellStyle name="Normal 10 16" xfId="10597"/>
    <cellStyle name="Normal 10 16 2" xfId="33372"/>
    <cellStyle name="Normal 10 17" xfId="11253"/>
    <cellStyle name="Normal 10 17 2" xfId="34028"/>
    <cellStyle name="Normal 10 18" xfId="11909"/>
    <cellStyle name="Normal 10 18 2" xfId="34684"/>
    <cellStyle name="Normal 10 19" xfId="12565"/>
    <cellStyle name="Normal 10 19 2" xfId="35340"/>
    <cellStyle name="Normal 10 2" xfId="757"/>
    <cellStyle name="Normal 10 2 10" xfId="8301"/>
    <cellStyle name="Normal 10 2 10 2" xfId="31076"/>
    <cellStyle name="Normal 10 2 11" xfId="8957"/>
    <cellStyle name="Normal 10 2 11 2" xfId="31732"/>
    <cellStyle name="Normal 10 2 12" xfId="9613"/>
    <cellStyle name="Normal 10 2 12 2" xfId="32388"/>
    <cellStyle name="Normal 10 2 13" xfId="10269"/>
    <cellStyle name="Normal 10 2 13 2" xfId="33044"/>
    <cellStyle name="Normal 10 2 14" xfId="10925"/>
    <cellStyle name="Normal 10 2 14 2" xfId="33700"/>
    <cellStyle name="Normal 10 2 15" xfId="11581"/>
    <cellStyle name="Normal 10 2 15 2" xfId="34356"/>
    <cellStyle name="Normal 10 2 16" xfId="12237"/>
    <cellStyle name="Normal 10 2 16 2" xfId="35012"/>
    <cellStyle name="Normal 10 2 17" xfId="12893"/>
    <cellStyle name="Normal 10 2 17 2" xfId="35668"/>
    <cellStyle name="Normal 10 2 18" xfId="13549"/>
    <cellStyle name="Normal 10 2 18 2" xfId="36324"/>
    <cellStyle name="Normal 10 2 19" xfId="14205"/>
    <cellStyle name="Normal 10 2 19 2" xfId="36980"/>
    <cellStyle name="Normal 10 2 2" xfId="1413"/>
    <cellStyle name="Normal 10 2 2 2" xfId="3709"/>
    <cellStyle name="Normal 10 2 2 2 2" xfId="26484"/>
    <cellStyle name="Normal 10 2 2 3" xfId="24188"/>
    <cellStyle name="Normal 10 2 20" xfId="14861"/>
    <cellStyle name="Normal 10 2 20 2" xfId="37636"/>
    <cellStyle name="Normal 10 2 21" xfId="15517"/>
    <cellStyle name="Normal 10 2 21 2" xfId="38292"/>
    <cellStyle name="Normal 10 2 22" xfId="16173"/>
    <cellStyle name="Normal 10 2 22 2" xfId="38948"/>
    <cellStyle name="Normal 10 2 23" xfId="16829"/>
    <cellStyle name="Normal 10 2 23 2" xfId="39604"/>
    <cellStyle name="Normal 10 2 24" xfId="17485"/>
    <cellStyle name="Normal 10 2 24 2" xfId="40260"/>
    <cellStyle name="Normal 10 2 25" xfId="18141"/>
    <cellStyle name="Normal 10 2 25 2" xfId="40916"/>
    <cellStyle name="Normal 10 2 26" xfId="18797"/>
    <cellStyle name="Normal 10 2 26 2" xfId="41572"/>
    <cellStyle name="Normal 10 2 27" xfId="19453"/>
    <cellStyle name="Normal 10 2 27 2" xfId="42228"/>
    <cellStyle name="Normal 10 2 28" xfId="20109"/>
    <cellStyle name="Normal 10 2 28 2" xfId="42884"/>
    <cellStyle name="Normal 10 2 29" xfId="20765"/>
    <cellStyle name="Normal 10 2 29 2" xfId="43540"/>
    <cellStyle name="Normal 10 2 3" xfId="2069"/>
    <cellStyle name="Normal 10 2 3 2" xfId="4365"/>
    <cellStyle name="Normal 10 2 3 2 2" xfId="27140"/>
    <cellStyle name="Normal 10 2 3 3" xfId="24844"/>
    <cellStyle name="Normal 10 2 30" xfId="21421"/>
    <cellStyle name="Normal 10 2 30 2" xfId="44196"/>
    <cellStyle name="Normal 10 2 31" xfId="22077"/>
    <cellStyle name="Normal 10 2 31 2" xfId="44852"/>
    <cellStyle name="Normal 10 2 32" xfId="22733"/>
    <cellStyle name="Normal 10 2 32 2" xfId="45508"/>
    <cellStyle name="Normal 10 2 33" xfId="23532"/>
    <cellStyle name="Normal 10 2 4" xfId="5021"/>
    <cellStyle name="Normal 10 2 4 2" xfId="27796"/>
    <cellStyle name="Normal 10 2 5" xfId="5677"/>
    <cellStyle name="Normal 10 2 5 2" xfId="28452"/>
    <cellStyle name="Normal 10 2 6" xfId="6333"/>
    <cellStyle name="Normal 10 2 6 2" xfId="29108"/>
    <cellStyle name="Normal 10 2 7" xfId="3053"/>
    <cellStyle name="Normal 10 2 7 2" xfId="25828"/>
    <cellStyle name="Normal 10 2 8" xfId="6989"/>
    <cellStyle name="Normal 10 2 8 2" xfId="29764"/>
    <cellStyle name="Normal 10 2 9" xfId="7645"/>
    <cellStyle name="Normal 10 2 9 2" xfId="30420"/>
    <cellStyle name="Normal 10 20" xfId="13221"/>
    <cellStyle name="Normal 10 20 2" xfId="35996"/>
    <cellStyle name="Normal 10 21" xfId="13877"/>
    <cellStyle name="Normal 10 21 2" xfId="36652"/>
    <cellStyle name="Normal 10 22" xfId="14533"/>
    <cellStyle name="Normal 10 22 2" xfId="37308"/>
    <cellStyle name="Normal 10 23" xfId="15189"/>
    <cellStyle name="Normal 10 23 2" xfId="37964"/>
    <cellStyle name="Normal 10 24" xfId="15845"/>
    <cellStyle name="Normal 10 24 2" xfId="38620"/>
    <cellStyle name="Normal 10 25" xfId="16501"/>
    <cellStyle name="Normal 10 25 2" xfId="39276"/>
    <cellStyle name="Normal 10 26" xfId="17157"/>
    <cellStyle name="Normal 10 26 2" xfId="39932"/>
    <cellStyle name="Normal 10 27" xfId="17813"/>
    <cellStyle name="Normal 10 27 2" xfId="40588"/>
    <cellStyle name="Normal 10 28" xfId="18469"/>
    <cellStyle name="Normal 10 28 2" xfId="41244"/>
    <cellStyle name="Normal 10 29" xfId="19125"/>
    <cellStyle name="Normal 10 29 2" xfId="41900"/>
    <cellStyle name="Normal 10 3" xfId="1085"/>
    <cellStyle name="Normal 10 3 2" xfId="2725"/>
    <cellStyle name="Normal 10 3 2 2" xfId="25500"/>
    <cellStyle name="Normal 10 3 3" xfId="23860"/>
    <cellStyle name="Normal 10 30" xfId="19781"/>
    <cellStyle name="Normal 10 30 2" xfId="42556"/>
    <cellStyle name="Normal 10 31" xfId="20437"/>
    <cellStyle name="Normal 10 31 2" xfId="43212"/>
    <cellStyle name="Normal 10 32" xfId="21093"/>
    <cellStyle name="Normal 10 32 2" xfId="43868"/>
    <cellStyle name="Normal 10 33" xfId="21749"/>
    <cellStyle name="Normal 10 33 2" xfId="44524"/>
    <cellStyle name="Normal 10 34" xfId="22405"/>
    <cellStyle name="Normal 10 34 2" xfId="45180"/>
    <cellStyle name="Normal 10 35" xfId="23204"/>
    <cellStyle name="Normal 10 36" xfId="430"/>
    <cellStyle name="Normal 10 4" xfId="1741"/>
    <cellStyle name="Normal 10 4 2" xfId="3381"/>
    <cellStyle name="Normal 10 4 2 2" xfId="26156"/>
    <cellStyle name="Normal 10 4 3" xfId="24516"/>
    <cellStyle name="Normal 10 5" xfId="4037"/>
    <cellStyle name="Normal 10 5 2" xfId="26812"/>
    <cellStyle name="Normal 10 6" xfId="4693"/>
    <cellStyle name="Normal 10 6 2" xfId="27468"/>
    <cellStyle name="Normal 10 7" xfId="5349"/>
    <cellStyle name="Normal 10 7 2" xfId="28124"/>
    <cellStyle name="Normal 10 8" xfId="6005"/>
    <cellStyle name="Normal 10 8 2" xfId="28780"/>
    <cellStyle name="Normal 10 9" xfId="2397"/>
    <cellStyle name="Normal 10 9 2" xfId="25172"/>
    <cellStyle name="Normal 11" xfId="444"/>
    <cellStyle name="Normal 11 10" xfId="6675"/>
    <cellStyle name="Normal 11 10 2" xfId="29450"/>
    <cellStyle name="Normal 11 11" xfId="7331"/>
    <cellStyle name="Normal 11 11 2" xfId="30106"/>
    <cellStyle name="Normal 11 12" xfId="7987"/>
    <cellStyle name="Normal 11 12 2" xfId="30762"/>
    <cellStyle name="Normal 11 13" xfId="8643"/>
    <cellStyle name="Normal 11 13 2" xfId="31418"/>
    <cellStyle name="Normal 11 14" xfId="9299"/>
    <cellStyle name="Normal 11 14 2" xfId="32074"/>
    <cellStyle name="Normal 11 15" xfId="9955"/>
    <cellStyle name="Normal 11 15 2" xfId="32730"/>
    <cellStyle name="Normal 11 16" xfId="10611"/>
    <cellStyle name="Normal 11 16 2" xfId="33386"/>
    <cellStyle name="Normal 11 17" xfId="11267"/>
    <cellStyle name="Normal 11 17 2" xfId="34042"/>
    <cellStyle name="Normal 11 18" xfId="11923"/>
    <cellStyle name="Normal 11 18 2" xfId="34698"/>
    <cellStyle name="Normal 11 19" xfId="12579"/>
    <cellStyle name="Normal 11 19 2" xfId="35354"/>
    <cellStyle name="Normal 11 2" xfId="771"/>
    <cellStyle name="Normal 11 2 10" xfId="8315"/>
    <cellStyle name="Normal 11 2 10 2" xfId="31090"/>
    <cellStyle name="Normal 11 2 11" xfId="8971"/>
    <cellStyle name="Normal 11 2 11 2" xfId="31746"/>
    <cellStyle name="Normal 11 2 12" xfId="9627"/>
    <cellStyle name="Normal 11 2 12 2" xfId="32402"/>
    <cellStyle name="Normal 11 2 13" xfId="10283"/>
    <cellStyle name="Normal 11 2 13 2" xfId="33058"/>
    <cellStyle name="Normal 11 2 14" xfId="10939"/>
    <cellStyle name="Normal 11 2 14 2" xfId="33714"/>
    <cellStyle name="Normal 11 2 15" xfId="11595"/>
    <cellStyle name="Normal 11 2 15 2" xfId="34370"/>
    <cellStyle name="Normal 11 2 16" xfId="12251"/>
    <cellStyle name="Normal 11 2 16 2" xfId="35026"/>
    <cellStyle name="Normal 11 2 17" xfId="12907"/>
    <cellStyle name="Normal 11 2 17 2" xfId="35682"/>
    <cellStyle name="Normal 11 2 18" xfId="13563"/>
    <cellStyle name="Normal 11 2 18 2" xfId="36338"/>
    <cellStyle name="Normal 11 2 19" xfId="14219"/>
    <cellStyle name="Normal 11 2 19 2" xfId="36994"/>
    <cellStyle name="Normal 11 2 2" xfId="1427"/>
    <cellStyle name="Normal 11 2 2 2" xfId="3723"/>
    <cellStyle name="Normal 11 2 2 2 2" xfId="26498"/>
    <cellStyle name="Normal 11 2 2 3" xfId="24202"/>
    <cellStyle name="Normal 11 2 20" xfId="14875"/>
    <cellStyle name="Normal 11 2 20 2" xfId="37650"/>
    <cellStyle name="Normal 11 2 21" xfId="15531"/>
    <cellStyle name="Normal 11 2 21 2" xfId="38306"/>
    <cellStyle name="Normal 11 2 22" xfId="16187"/>
    <cellStyle name="Normal 11 2 22 2" xfId="38962"/>
    <cellStyle name="Normal 11 2 23" xfId="16843"/>
    <cellStyle name="Normal 11 2 23 2" xfId="39618"/>
    <cellStyle name="Normal 11 2 24" xfId="17499"/>
    <cellStyle name="Normal 11 2 24 2" xfId="40274"/>
    <cellStyle name="Normal 11 2 25" xfId="18155"/>
    <cellStyle name="Normal 11 2 25 2" xfId="40930"/>
    <cellStyle name="Normal 11 2 26" xfId="18811"/>
    <cellStyle name="Normal 11 2 26 2" xfId="41586"/>
    <cellStyle name="Normal 11 2 27" xfId="19467"/>
    <cellStyle name="Normal 11 2 27 2" xfId="42242"/>
    <cellStyle name="Normal 11 2 28" xfId="20123"/>
    <cellStyle name="Normal 11 2 28 2" xfId="42898"/>
    <cellStyle name="Normal 11 2 29" xfId="20779"/>
    <cellStyle name="Normal 11 2 29 2" xfId="43554"/>
    <cellStyle name="Normal 11 2 3" xfId="2083"/>
    <cellStyle name="Normal 11 2 3 2" xfId="4379"/>
    <cellStyle name="Normal 11 2 3 2 2" xfId="27154"/>
    <cellStyle name="Normal 11 2 3 3" xfId="24858"/>
    <cellStyle name="Normal 11 2 30" xfId="21435"/>
    <cellStyle name="Normal 11 2 30 2" xfId="44210"/>
    <cellStyle name="Normal 11 2 31" xfId="22091"/>
    <cellStyle name="Normal 11 2 31 2" xfId="44866"/>
    <cellStyle name="Normal 11 2 32" xfId="22747"/>
    <cellStyle name="Normal 11 2 32 2" xfId="45522"/>
    <cellStyle name="Normal 11 2 33" xfId="23546"/>
    <cellStyle name="Normal 11 2 4" xfId="5035"/>
    <cellStyle name="Normal 11 2 4 2" xfId="27810"/>
    <cellStyle name="Normal 11 2 5" xfId="5691"/>
    <cellStyle name="Normal 11 2 5 2" xfId="28466"/>
    <cellStyle name="Normal 11 2 6" xfId="6347"/>
    <cellStyle name="Normal 11 2 6 2" xfId="29122"/>
    <cellStyle name="Normal 11 2 7" xfId="3067"/>
    <cellStyle name="Normal 11 2 7 2" xfId="25842"/>
    <cellStyle name="Normal 11 2 8" xfId="7003"/>
    <cellStyle name="Normal 11 2 8 2" xfId="29778"/>
    <cellStyle name="Normal 11 2 9" xfId="7659"/>
    <cellStyle name="Normal 11 2 9 2" xfId="30434"/>
    <cellStyle name="Normal 11 20" xfId="13235"/>
    <cellStyle name="Normal 11 20 2" xfId="36010"/>
    <cellStyle name="Normal 11 21" xfId="13891"/>
    <cellStyle name="Normal 11 21 2" xfId="36666"/>
    <cellStyle name="Normal 11 22" xfId="14547"/>
    <cellStyle name="Normal 11 22 2" xfId="37322"/>
    <cellStyle name="Normal 11 23" xfId="15203"/>
    <cellStyle name="Normal 11 23 2" xfId="37978"/>
    <cellStyle name="Normal 11 24" xfId="15859"/>
    <cellStyle name="Normal 11 24 2" xfId="38634"/>
    <cellStyle name="Normal 11 25" xfId="16515"/>
    <cellStyle name="Normal 11 25 2" xfId="39290"/>
    <cellStyle name="Normal 11 26" xfId="17171"/>
    <cellStyle name="Normal 11 26 2" xfId="39946"/>
    <cellStyle name="Normal 11 27" xfId="17827"/>
    <cellStyle name="Normal 11 27 2" xfId="40602"/>
    <cellStyle name="Normal 11 28" xfId="18483"/>
    <cellStyle name="Normal 11 28 2" xfId="41258"/>
    <cellStyle name="Normal 11 29" xfId="19139"/>
    <cellStyle name="Normal 11 29 2" xfId="41914"/>
    <cellStyle name="Normal 11 3" xfId="1099"/>
    <cellStyle name="Normal 11 3 2" xfId="2739"/>
    <cellStyle name="Normal 11 3 2 2" xfId="25514"/>
    <cellStyle name="Normal 11 3 3" xfId="23874"/>
    <cellStyle name="Normal 11 30" xfId="19795"/>
    <cellStyle name="Normal 11 30 2" xfId="42570"/>
    <cellStyle name="Normal 11 31" xfId="20451"/>
    <cellStyle name="Normal 11 31 2" xfId="43226"/>
    <cellStyle name="Normal 11 32" xfId="21107"/>
    <cellStyle name="Normal 11 32 2" xfId="43882"/>
    <cellStyle name="Normal 11 33" xfId="21763"/>
    <cellStyle name="Normal 11 33 2" xfId="44538"/>
    <cellStyle name="Normal 11 34" xfId="22419"/>
    <cellStyle name="Normal 11 34 2" xfId="45194"/>
    <cellStyle name="Normal 11 35" xfId="23218"/>
    <cellStyle name="Normal 11 4" xfId="1755"/>
    <cellStyle name="Normal 11 4 2" xfId="3395"/>
    <cellStyle name="Normal 11 4 2 2" xfId="26170"/>
    <cellStyle name="Normal 11 4 3" xfId="24530"/>
    <cellStyle name="Normal 11 5" xfId="4051"/>
    <cellStyle name="Normal 11 5 2" xfId="26826"/>
    <cellStyle name="Normal 11 6" xfId="4707"/>
    <cellStyle name="Normal 11 6 2" xfId="27482"/>
    <cellStyle name="Normal 11 7" xfId="5363"/>
    <cellStyle name="Normal 11 7 2" xfId="28138"/>
    <cellStyle name="Normal 11 8" xfId="6019"/>
    <cellStyle name="Normal 11 8 2" xfId="28794"/>
    <cellStyle name="Normal 11 9" xfId="2411"/>
    <cellStyle name="Normal 11 9 2" xfId="25186"/>
    <cellStyle name="Normal 12" xfId="186"/>
    <cellStyle name="Normal 2" xfId="45"/>
    <cellStyle name="Normal 2 2" xfId="82"/>
    <cellStyle name="Normal 3" xfId="1"/>
    <cellStyle name="Normal 3 10" xfId="4548"/>
    <cellStyle name="Normal 3 10 2" xfId="27323"/>
    <cellStyle name="Normal 3 11" xfId="5204"/>
    <cellStyle name="Normal 3 11 2" xfId="27979"/>
    <cellStyle name="Normal 3 12" xfId="5860"/>
    <cellStyle name="Normal 3 12 2" xfId="28635"/>
    <cellStyle name="Normal 3 13" xfId="2252"/>
    <cellStyle name="Normal 3 13 2" xfId="25027"/>
    <cellStyle name="Normal 3 14" xfId="6516"/>
    <cellStyle name="Normal 3 14 2" xfId="29291"/>
    <cellStyle name="Normal 3 15" xfId="7172"/>
    <cellStyle name="Normal 3 15 2" xfId="29947"/>
    <cellStyle name="Normal 3 16" xfId="7828"/>
    <cellStyle name="Normal 3 16 2" xfId="30603"/>
    <cellStyle name="Normal 3 17" xfId="8484"/>
    <cellStyle name="Normal 3 17 2" xfId="31259"/>
    <cellStyle name="Normal 3 18" xfId="9140"/>
    <cellStyle name="Normal 3 18 2" xfId="31915"/>
    <cellStyle name="Normal 3 19" xfId="9796"/>
    <cellStyle name="Normal 3 19 2" xfId="32571"/>
    <cellStyle name="Normal 3 2" xfId="50"/>
    <cellStyle name="Normal 3 2 10" xfId="5876"/>
    <cellStyle name="Normal 3 2 10 2" xfId="28651"/>
    <cellStyle name="Normal 3 2 11" xfId="2268"/>
    <cellStyle name="Normal 3 2 11 2" xfId="25043"/>
    <cellStyle name="Normal 3 2 12" xfId="6532"/>
    <cellStyle name="Normal 3 2 12 2" xfId="29307"/>
    <cellStyle name="Normal 3 2 13" xfId="7188"/>
    <cellStyle name="Normal 3 2 13 2" xfId="29963"/>
    <cellStyle name="Normal 3 2 14" xfId="7844"/>
    <cellStyle name="Normal 3 2 14 2" xfId="30619"/>
    <cellStyle name="Normal 3 2 15" xfId="8500"/>
    <cellStyle name="Normal 3 2 15 2" xfId="31275"/>
    <cellStyle name="Normal 3 2 16" xfId="9156"/>
    <cellStyle name="Normal 3 2 16 2" xfId="31931"/>
    <cellStyle name="Normal 3 2 17" xfId="9812"/>
    <cellStyle name="Normal 3 2 17 2" xfId="32587"/>
    <cellStyle name="Normal 3 2 18" xfId="10468"/>
    <cellStyle name="Normal 3 2 18 2" xfId="33243"/>
    <cellStyle name="Normal 3 2 19" xfId="11124"/>
    <cellStyle name="Normal 3 2 19 2" xfId="33899"/>
    <cellStyle name="Normal 3 2 2" xfId="128"/>
    <cellStyle name="Normal 3 2 2 10" xfId="2324"/>
    <cellStyle name="Normal 3 2 2 10 2" xfId="25099"/>
    <cellStyle name="Normal 3 2 2 11" xfId="6588"/>
    <cellStyle name="Normal 3 2 2 11 2" xfId="29363"/>
    <cellStyle name="Normal 3 2 2 12" xfId="7244"/>
    <cellStyle name="Normal 3 2 2 12 2" xfId="30019"/>
    <cellStyle name="Normal 3 2 2 13" xfId="7900"/>
    <cellStyle name="Normal 3 2 2 13 2" xfId="30675"/>
    <cellStyle name="Normal 3 2 2 14" xfId="8556"/>
    <cellStyle name="Normal 3 2 2 14 2" xfId="31331"/>
    <cellStyle name="Normal 3 2 2 15" xfId="9212"/>
    <cellStyle name="Normal 3 2 2 15 2" xfId="31987"/>
    <cellStyle name="Normal 3 2 2 16" xfId="9868"/>
    <cellStyle name="Normal 3 2 2 16 2" xfId="32643"/>
    <cellStyle name="Normal 3 2 2 17" xfId="10524"/>
    <cellStyle name="Normal 3 2 2 17 2" xfId="33299"/>
    <cellStyle name="Normal 3 2 2 18" xfId="11180"/>
    <cellStyle name="Normal 3 2 2 18 2" xfId="33955"/>
    <cellStyle name="Normal 3 2 2 19" xfId="11836"/>
    <cellStyle name="Normal 3 2 2 19 2" xfId="34611"/>
    <cellStyle name="Normal 3 2 2 2" xfId="540"/>
    <cellStyle name="Normal 3 2 2 2 10" xfId="6773"/>
    <cellStyle name="Normal 3 2 2 2 10 2" xfId="29548"/>
    <cellStyle name="Normal 3 2 2 2 11" xfId="7429"/>
    <cellStyle name="Normal 3 2 2 2 11 2" xfId="30204"/>
    <cellStyle name="Normal 3 2 2 2 12" xfId="8085"/>
    <cellStyle name="Normal 3 2 2 2 12 2" xfId="30860"/>
    <cellStyle name="Normal 3 2 2 2 13" xfId="8741"/>
    <cellStyle name="Normal 3 2 2 2 13 2" xfId="31516"/>
    <cellStyle name="Normal 3 2 2 2 14" xfId="9397"/>
    <cellStyle name="Normal 3 2 2 2 14 2" xfId="32172"/>
    <cellStyle name="Normal 3 2 2 2 15" xfId="10053"/>
    <cellStyle name="Normal 3 2 2 2 15 2" xfId="32828"/>
    <cellStyle name="Normal 3 2 2 2 16" xfId="10709"/>
    <cellStyle name="Normal 3 2 2 2 16 2" xfId="33484"/>
    <cellStyle name="Normal 3 2 2 2 17" xfId="11365"/>
    <cellStyle name="Normal 3 2 2 2 17 2" xfId="34140"/>
    <cellStyle name="Normal 3 2 2 2 18" xfId="12021"/>
    <cellStyle name="Normal 3 2 2 2 18 2" xfId="34796"/>
    <cellStyle name="Normal 3 2 2 2 19" xfId="12677"/>
    <cellStyle name="Normal 3 2 2 2 19 2" xfId="35452"/>
    <cellStyle name="Normal 3 2 2 2 2" xfId="869"/>
    <cellStyle name="Normal 3 2 2 2 2 10" xfId="8413"/>
    <cellStyle name="Normal 3 2 2 2 2 10 2" xfId="31188"/>
    <cellStyle name="Normal 3 2 2 2 2 11" xfId="9069"/>
    <cellStyle name="Normal 3 2 2 2 2 11 2" xfId="31844"/>
    <cellStyle name="Normal 3 2 2 2 2 12" xfId="9725"/>
    <cellStyle name="Normal 3 2 2 2 2 12 2" xfId="32500"/>
    <cellStyle name="Normal 3 2 2 2 2 13" xfId="10381"/>
    <cellStyle name="Normal 3 2 2 2 2 13 2" xfId="33156"/>
    <cellStyle name="Normal 3 2 2 2 2 14" xfId="11037"/>
    <cellStyle name="Normal 3 2 2 2 2 14 2" xfId="33812"/>
    <cellStyle name="Normal 3 2 2 2 2 15" xfId="11693"/>
    <cellStyle name="Normal 3 2 2 2 2 15 2" xfId="34468"/>
    <cellStyle name="Normal 3 2 2 2 2 16" xfId="12349"/>
    <cellStyle name="Normal 3 2 2 2 2 16 2" xfId="35124"/>
    <cellStyle name="Normal 3 2 2 2 2 17" xfId="13005"/>
    <cellStyle name="Normal 3 2 2 2 2 17 2" xfId="35780"/>
    <cellStyle name="Normal 3 2 2 2 2 18" xfId="13661"/>
    <cellStyle name="Normal 3 2 2 2 2 18 2" xfId="36436"/>
    <cellStyle name="Normal 3 2 2 2 2 19" xfId="14317"/>
    <cellStyle name="Normal 3 2 2 2 2 19 2" xfId="37092"/>
    <cellStyle name="Normal 3 2 2 2 2 2" xfId="1525"/>
    <cellStyle name="Normal 3 2 2 2 2 2 2" xfId="3821"/>
    <cellStyle name="Normal 3 2 2 2 2 2 2 2" xfId="26596"/>
    <cellStyle name="Normal 3 2 2 2 2 2 3" xfId="24300"/>
    <cellStyle name="Normal 3 2 2 2 2 20" xfId="14973"/>
    <cellStyle name="Normal 3 2 2 2 2 20 2" xfId="37748"/>
    <cellStyle name="Normal 3 2 2 2 2 21" xfId="15629"/>
    <cellStyle name="Normal 3 2 2 2 2 21 2" xfId="38404"/>
    <cellStyle name="Normal 3 2 2 2 2 22" xfId="16285"/>
    <cellStyle name="Normal 3 2 2 2 2 22 2" xfId="39060"/>
    <cellStyle name="Normal 3 2 2 2 2 23" xfId="16941"/>
    <cellStyle name="Normal 3 2 2 2 2 23 2" xfId="39716"/>
    <cellStyle name="Normal 3 2 2 2 2 24" xfId="17597"/>
    <cellStyle name="Normal 3 2 2 2 2 24 2" xfId="40372"/>
    <cellStyle name="Normal 3 2 2 2 2 25" xfId="18253"/>
    <cellStyle name="Normal 3 2 2 2 2 25 2" xfId="41028"/>
    <cellStyle name="Normal 3 2 2 2 2 26" xfId="18909"/>
    <cellStyle name="Normal 3 2 2 2 2 26 2" xfId="41684"/>
    <cellStyle name="Normal 3 2 2 2 2 27" xfId="19565"/>
    <cellStyle name="Normal 3 2 2 2 2 27 2" xfId="42340"/>
    <cellStyle name="Normal 3 2 2 2 2 28" xfId="20221"/>
    <cellStyle name="Normal 3 2 2 2 2 28 2" xfId="42996"/>
    <cellStyle name="Normal 3 2 2 2 2 29" xfId="20877"/>
    <cellStyle name="Normal 3 2 2 2 2 29 2" xfId="43652"/>
    <cellStyle name="Normal 3 2 2 2 2 3" xfId="2181"/>
    <cellStyle name="Normal 3 2 2 2 2 3 2" xfId="4477"/>
    <cellStyle name="Normal 3 2 2 2 2 3 2 2" xfId="27252"/>
    <cellStyle name="Normal 3 2 2 2 2 3 3" xfId="24956"/>
    <cellStyle name="Normal 3 2 2 2 2 30" xfId="21533"/>
    <cellStyle name="Normal 3 2 2 2 2 30 2" xfId="44308"/>
    <cellStyle name="Normal 3 2 2 2 2 31" xfId="22189"/>
    <cellStyle name="Normal 3 2 2 2 2 31 2" xfId="44964"/>
    <cellStyle name="Normal 3 2 2 2 2 32" xfId="22845"/>
    <cellStyle name="Normal 3 2 2 2 2 32 2" xfId="45620"/>
    <cellStyle name="Normal 3 2 2 2 2 33" xfId="23644"/>
    <cellStyle name="Normal 3 2 2 2 2 4" xfId="5133"/>
    <cellStyle name="Normal 3 2 2 2 2 4 2" xfId="27908"/>
    <cellStyle name="Normal 3 2 2 2 2 5" xfId="5789"/>
    <cellStyle name="Normal 3 2 2 2 2 5 2" xfId="28564"/>
    <cellStyle name="Normal 3 2 2 2 2 6" xfId="6445"/>
    <cellStyle name="Normal 3 2 2 2 2 6 2" xfId="29220"/>
    <cellStyle name="Normal 3 2 2 2 2 7" xfId="3165"/>
    <cellStyle name="Normal 3 2 2 2 2 7 2" xfId="25940"/>
    <cellStyle name="Normal 3 2 2 2 2 8" xfId="7101"/>
    <cellStyle name="Normal 3 2 2 2 2 8 2" xfId="29876"/>
    <cellStyle name="Normal 3 2 2 2 2 9" xfId="7757"/>
    <cellStyle name="Normal 3 2 2 2 2 9 2" xfId="30532"/>
    <cellStyle name="Normal 3 2 2 2 20" xfId="13333"/>
    <cellStyle name="Normal 3 2 2 2 20 2" xfId="36108"/>
    <cellStyle name="Normal 3 2 2 2 21" xfId="13989"/>
    <cellStyle name="Normal 3 2 2 2 21 2" xfId="36764"/>
    <cellStyle name="Normal 3 2 2 2 22" xfId="14645"/>
    <cellStyle name="Normal 3 2 2 2 22 2" xfId="37420"/>
    <cellStyle name="Normal 3 2 2 2 23" xfId="15301"/>
    <cellStyle name="Normal 3 2 2 2 23 2" xfId="38076"/>
    <cellStyle name="Normal 3 2 2 2 24" xfId="15957"/>
    <cellStyle name="Normal 3 2 2 2 24 2" xfId="38732"/>
    <cellStyle name="Normal 3 2 2 2 25" xfId="16613"/>
    <cellStyle name="Normal 3 2 2 2 25 2" xfId="39388"/>
    <cellStyle name="Normal 3 2 2 2 26" xfId="17269"/>
    <cellStyle name="Normal 3 2 2 2 26 2" xfId="40044"/>
    <cellStyle name="Normal 3 2 2 2 27" xfId="17925"/>
    <cellStyle name="Normal 3 2 2 2 27 2" xfId="40700"/>
    <cellStyle name="Normal 3 2 2 2 28" xfId="18581"/>
    <cellStyle name="Normal 3 2 2 2 28 2" xfId="41356"/>
    <cellStyle name="Normal 3 2 2 2 29" xfId="19237"/>
    <cellStyle name="Normal 3 2 2 2 29 2" xfId="42012"/>
    <cellStyle name="Normal 3 2 2 2 3" xfId="1197"/>
    <cellStyle name="Normal 3 2 2 2 3 2" xfId="2837"/>
    <cellStyle name="Normal 3 2 2 2 3 2 2" xfId="25612"/>
    <cellStyle name="Normal 3 2 2 2 3 3" xfId="23972"/>
    <cellStyle name="Normal 3 2 2 2 30" xfId="19893"/>
    <cellStyle name="Normal 3 2 2 2 30 2" xfId="42668"/>
    <cellStyle name="Normal 3 2 2 2 31" xfId="20549"/>
    <cellStyle name="Normal 3 2 2 2 31 2" xfId="43324"/>
    <cellStyle name="Normal 3 2 2 2 32" xfId="21205"/>
    <cellStyle name="Normal 3 2 2 2 32 2" xfId="43980"/>
    <cellStyle name="Normal 3 2 2 2 33" xfId="21861"/>
    <cellStyle name="Normal 3 2 2 2 33 2" xfId="44636"/>
    <cellStyle name="Normal 3 2 2 2 34" xfId="22517"/>
    <cellStyle name="Normal 3 2 2 2 34 2" xfId="45292"/>
    <cellStyle name="Normal 3 2 2 2 35" xfId="23316"/>
    <cellStyle name="Normal 3 2 2 2 4" xfId="1853"/>
    <cellStyle name="Normal 3 2 2 2 4 2" xfId="3493"/>
    <cellStyle name="Normal 3 2 2 2 4 2 2" xfId="26268"/>
    <cellStyle name="Normal 3 2 2 2 4 3" xfId="24628"/>
    <cellStyle name="Normal 3 2 2 2 5" xfId="4149"/>
    <cellStyle name="Normal 3 2 2 2 5 2" xfId="26924"/>
    <cellStyle name="Normal 3 2 2 2 6" xfId="4805"/>
    <cellStyle name="Normal 3 2 2 2 6 2" xfId="27580"/>
    <cellStyle name="Normal 3 2 2 2 7" xfId="5461"/>
    <cellStyle name="Normal 3 2 2 2 7 2" xfId="28236"/>
    <cellStyle name="Normal 3 2 2 2 8" xfId="6117"/>
    <cellStyle name="Normal 3 2 2 2 8 2" xfId="28892"/>
    <cellStyle name="Normal 3 2 2 2 9" xfId="2509"/>
    <cellStyle name="Normal 3 2 2 2 9 2" xfId="25284"/>
    <cellStyle name="Normal 3 2 2 20" xfId="12492"/>
    <cellStyle name="Normal 3 2 2 20 2" xfId="35267"/>
    <cellStyle name="Normal 3 2 2 21" xfId="13148"/>
    <cellStyle name="Normal 3 2 2 21 2" xfId="35923"/>
    <cellStyle name="Normal 3 2 2 22" xfId="13804"/>
    <cellStyle name="Normal 3 2 2 22 2" xfId="36579"/>
    <cellStyle name="Normal 3 2 2 23" xfId="14460"/>
    <cellStyle name="Normal 3 2 2 23 2" xfId="37235"/>
    <cellStyle name="Normal 3 2 2 24" xfId="15116"/>
    <cellStyle name="Normal 3 2 2 24 2" xfId="37891"/>
    <cellStyle name="Normal 3 2 2 25" xfId="15772"/>
    <cellStyle name="Normal 3 2 2 25 2" xfId="38547"/>
    <cellStyle name="Normal 3 2 2 26" xfId="16428"/>
    <cellStyle name="Normal 3 2 2 26 2" xfId="39203"/>
    <cellStyle name="Normal 3 2 2 27" xfId="17084"/>
    <cellStyle name="Normal 3 2 2 27 2" xfId="39859"/>
    <cellStyle name="Normal 3 2 2 28" xfId="17740"/>
    <cellStyle name="Normal 3 2 2 28 2" xfId="40515"/>
    <cellStyle name="Normal 3 2 2 29" xfId="18396"/>
    <cellStyle name="Normal 3 2 2 29 2" xfId="41171"/>
    <cellStyle name="Normal 3 2 2 3" xfId="684"/>
    <cellStyle name="Normal 3 2 2 3 10" xfId="8228"/>
    <cellStyle name="Normal 3 2 2 3 10 2" xfId="31003"/>
    <cellStyle name="Normal 3 2 2 3 11" xfId="8884"/>
    <cellStyle name="Normal 3 2 2 3 11 2" xfId="31659"/>
    <cellStyle name="Normal 3 2 2 3 12" xfId="9540"/>
    <cellStyle name="Normal 3 2 2 3 12 2" xfId="32315"/>
    <cellStyle name="Normal 3 2 2 3 13" xfId="10196"/>
    <cellStyle name="Normal 3 2 2 3 13 2" xfId="32971"/>
    <cellStyle name="Normal 3 2 2 3 14" xfId="10852"/>
    <cellStyle name="Normal 3 2 2 3 14 2" xfId="33627"/>
    <cellStyle name="Normal 3 2 2 3 15" xfId="11508"/>
    <cellStyle name="Normal 3 2 2 3 15 2" xfId="34283"/>
    <cellStyle name="Normal 3 2 2 3 16" xfId="12164"/>
    <cellStyle name="Normal 3 2 2 3 16 2" xfId="34939"/>
    <cellStyle name="Normal 3 2 2 3 17" xfId="12820"/>
    <cellStyle name="Normal 3 2 2 3 17 2" xfId="35595"/>
    <cellStyle name="Normal 3 2 2 3 18" xfId="13476"/>
    <cellStyle name="Normal 3 2 2 3 18 2" xfId="36251"/>
    <cellStyle name="Normal 3 2 2 3 19" xfId="14132"/>
    <cellStyle name="Normal 3 2 2 3 19 2" xfId="36907"/>
    <cellStyle name="Normal 3 2 2 3 2" xfId="1340"/>
    <cellStyle name="Normal 3 2 2 3 2 2" xfId="3636"/>
    <cellStyle name="Normal 3 2 2 3 2 2 2" xfId="26411"/>
    <cellStyle name="Normal 3 2 2 3 2 3" xfId="24115"/>
    <cellStyle name="Normal 3 2 2 3 20" xfId="14788"/>
    <cellStyle name="Normal 3 2 2 3 20 2" xfId="37563"/>
    <cellStyle name="Normal 3 2 2 3 21" xfId="15444"/>
    <cellStyle name="Normal 3 2 2 3 21 2" xfId="38219"/>
    <cellStyle name="Normal 3 2 2 3 22" xfId="16100"/>
    <cellStyle name="Normal 3 2 2 3 22 2" xfId="38875"/>
    <cellStyle name="Normal 3 2 2 3 23" xfId="16756"/>
    <cellStyle name="Normal 3 2 2 3 23 2" xfId="39531"/>
    <cellStyle name="Normal 3 2 2 3 24" xfId="17412"/>
    <cellStyle name="Normal 3 2 2 3 24 2" xfId="40187"/>
    <cellStyle name="Normal 3 2 2 3 25" xfId="18068"/>
    <cellStyle name="Normal 3 2 2 3 25 2" xfId="40843"/>
    <cellStyle name="Normal 3 2 2 3 26" xfId="18724"/>
    <cellStyle name="Normal 3 2 2 3 26 2" xfId="41499"/>
    <cellStyle name="Normal 3 2 2 3 27" xfId="19380"/>
    <cellStyle name="Normal 3 2 2 3 27 2" xfId="42155"/>
    <cellStyle name="Normal 3 2 2 3 28" xfId="20036"/>
    <cellStyle name="Normal 3 2 2 3 28 2" xfId="42811"/>
    <cellStyle name="Normal 3 2 2 3 29" xfId="20692"/>
    <cellStyle name="Normal 3 2 2 3 29 2" xfId="43467"/>
    <cellStyle name="Normal 3 2 2 3 3" xfId="1996"/>
    <cellStyle name="Normal 3 2 2 3 3 2" xfId="4292"/>
    <cellStyle name="Normal 3 2 2 3 3 2 2" xfId="27067"/>
    <cellStyle name="Normal 3 2 2 3 3 3" xfId="24771"/>
    <cellStyle name="Normal 3 2 2 3 30" xfId="21348"/>
    <cellStyle name="Normal 3 2 2 3 30 2" xfId="44123"/>
    <cellStyle name="Normal 3 2 2 3 31" xfId="22004"/>
    <cellStyle name="Normal 3 2 2 3 31 2" xfId="44779"/>
    <cellStyle name="Normal 3 2 2 3 32" xfId="22660"/>
    <cellStyle name="Normal 3 2 2 3 32 2" xfId="45435"/>
    <cellStyle name="Normal 3 2 2 3 33" xfId="23459"/>
    <cellStyle name="Normal 3 2 2 3 4" xfId="4948"/>
    <cellStyle name="Normal 3 2 2 3 4 2" xfId="27723"/>
    <cellStyle name="Normal 3 2 2 3 5" xfId="5604"/>
    <cellStyle name="Normal 3 2 2 3 5 2" xfId="28379"/>
    <cellStyle name="Normal 3 2 2 3 6" xfId="6260"/>
    <cellStyle name="Normal 3 2 2 3 6 2" xfId="29035"/>
    <cellStyle name="Normal 3 2 2 3 7" xfId="2980"/>
    <cellStyle name="Normal 3 2 2 3 7 2" xfId="25755"/>
    <cellStyle name="Normal 3 2 2 3 8" xfId="6916"/>
    <cellStyle name="Normal 3 2 2 3 8 2" xfId="29691"/>
    <cellStyle name="Normal 3 2 2 3 9" xfId="7572"/>
    <cellStyle name="Normal 3 2 2 3 9 2" xfId="30347"/>
    <cellStyle name="Normal 3 2 2 30" xfId="19052"/>
    <cellStyle name="Normal 3 2 2 30 2" xfId="41827"/>
    <cellStyle name="Normal 3 2 2 31" xfId="19708"/>
    <cellStyle name="Normal 3 2 2 31 2" xfId="42483"/>
    <cellStyle name="Normal 3 2 2 32" xfId="20364"/>
    <cellStyle name="Normal 3 2 2 32 2" xfId="43139"/>
    <cellStyle name="Normal 3 2 2 33" xfId="21020"/>
    <cellStyle name="Normal 3 2 2 33 2" xfId="43795"/>
    <cellStyle name="Normal 3 2 2 34" xfId="21676"/>
    <cellStyle name="Normal 3 2 2 34 2" xfId="44451"/>
    <cellStyle name="Normal 3 2 2 35" xfId="22332"/>
    <cellStyle name="Normal 3 2 2 35 2" xfId="45107"/>
    <cellStyle name="Normal 3 2 2 36" xfId="22988"/>
    <cellStyle name="Normal 3 2 2 4" xfId="357"/>
    <cellStyle name="Normal 3 2 2 4 2" xfId="2652"/>
    <cellStyle name="Normal 3 2 2 4 2 2" xfId="25427"/>
    <cellStyle name="Normal 3 2 2 4 3" xfId="23131"/>
    <cellStyle name="Normal 3 2 2 5" xfId="1012"/>
    <cellStyle name="Normal 3 2 2 5 2" xfId="3308"/>
    <cellStyle name="Normal 3 2 2 5 2 2" xfId="26083"/>
    <cellStyle name="Normal 3 2 2 5 3" xfId="23787"/>
    <cellStyle name="Normal 3 2 2 6" xfId="1668"/>
    <cellStyle name="Normal 3 2 2 6 2" xfId="3964"/>
    <cellStyle name="Normal 3 2 2 6 2 2" xfId="26739"/>
    <cellStyle name="Normal 3 2 2 6 3" xfId="24443"/>
    <cellStyle name="Normal 3 2 2 7" xfId="4620"/>
    <cellStyle name="Normal 3 2 2 7 2" xfId="27395"/>
    <cellStyle name="Normal 3 2 2 8" xfId="5276"/>
    <cellStyle name="Normal 3 2 2 8 2" xfId="28051"/>
    <cellStyle name="Normal 3 2 2 9" xfId="5932"/>
    <cellStyle name="Normal 3 2 2 9 2" xfId="28707"/>
    <cellStyle name="Normal 3 2 20" xfId="11780"/>
    <cellStyle name="Normal 3 2 20 2" xfId="34555"/>
    <cellStyle name="Normal 3 2 21" xfId="12436"/>
    <cellStyle name="Normal 3 2 21 2" xfId="35211"/>
    <cellStyle name="Normal 3 2 22" xfId="13092"/>
    <cellStyle name="Normal 3 2 22 2" xfId="35867"/>
    <cellStyle name="Normal 3 2 23" xfId="13748"/>
    <cellStyle name="Normal 3 2 23 2" xfId="36523"/>
    <cellStyle name="Normal 3 2 24" xfId="14404"/>
    <cellStyle name="Normal 3 2 24 2" xfId="37179"/>
    <cellStyle name="Normal 3 2 25" xfId="15060"/>
    <cellStyle name="Normal 3 2 25 2" xfId="37835"/>
    <cellStyle name="Normal 3 2 26" xfId="15716"/>
    <cellStyle name="Normal 3 2 26 2" xfId="38491"/>
    <cellStyle name="Normal 3 2 27" xfId="16372"/>
    <cellStyle name="Normal 3 2 27 2" xfId="39147"/>
    <cellStyle name="Normal 3 2 28" xfId="17028"/>
    <cellStyle name="Normal 3 2 28 2" xfId="39803"/>
    <cellStyle name="Normal 3 2 29" xfId="17684"/>
    <cellStyle name="Normal 3 2 29 2" xfId="40459"/>
    <cellStyle name="Normal 3 2 3" xfId="486"/>
    <cellStyle name="Normal 3 2 3 10" xfId="6717"/>
    <cellStyle name="Normal 3 2 3 10 2" xfId="29492"/>
    <cellStyle name="Normal 3 2 3 11" xfId="7373"/>
    <cellStyle name="Normal 3 2 3 11 2" xfId="30148"/>
    <cellStyle name="Normal 3 2 3 12" xfId="8029"/>
    <cellStyle name="Normal 3 2 3 12 2" xfId="30804"/>
    <cellStyle name="Normal 3 2 3 13" xfId="8685"/>
    <cellStyle name="Normal 3 2 3 13 2" xfId="31460"/>
    <cellStyle name="Normal 3 2 3 14" xfId="9341"/>
    <cellStyle name="Normal 3 2 3 14 2" xfId="32116"/>
    <cellStyle name="Normal 3 2 3 15" xfId="9997"/>
    <cellStyle name="Normal 3 2 3 15 2" xfId="32772"/>
    <cellStyle name="Normal 3 2 3 16" xfId="10653"/>
    <cellStyle name="Normal 3 2 3 16 2" xfId="33428"/>
    <cellStyle name="Normal 3 2 3 17" xfId="11309"/>
    <cellStyle name="Normal 3 2 3 17 2" xfId="34084"/>
    <cellStyle name="Normal 3 2 3 18" xfId="11965"/>
    <cellStyle name="Normal 3 2 3 18 2" xfId="34740"/>
    <cellStyle name="Normal 3 2 3 19" xfId="12621"/>
    <cellStyle name="Normal 3 2 3 19 2" xfId="35396"/>
    <cellStyle name="Normal 3 2 3 2" xfId="813"/>
    <cellStyle name="Normal 3 2 3 2 10" xfId="8357"/>
    <cellStyle name="Normal 3 2 3 2 10 2" xfId="31132"/>
    <cellStyle name="Normal 3 2 3 2 11" xfId="9013"/>
    <cellStyle name="Normal 3 2 3 2 11 2" xfId="31788"/>
    <cellStyle name="Normal 3 2 3 2 12" xfId="9669"/>
    <cellStyle name="Normal 3 2 3 2 12 2" xfId="32444"/>
    <cellStyle name="Normal 3 2 3 2 13" xfId="10325"/>
    <cellStyle name="Normal 3 2 3 2 13 2" xfId="33100"/>
    <cellStyle name="Normal 3 2 3 2 14" xfId="10981"/>
    <cellStyle name="Normal 3 2 3 2 14 2" xfId="33756"/>
    <cellStyle name="Normal 3 2 3 2 15" xfId="11637"/>
    <cellStyle name="Normal 3 2 3 2 15 2" xfId="34412"/>
    <cellStyle name="Normal 3 2 3 2 16" xfId="12293"/>
    <cellStyle name="Normal 3 2 3 2 16 2" xfId="35068"/>
    <cellStyle name="Normal 3 2 3 2 17" xfId="12949"/>
    <cellStyle name="Normal 3 2 3 2 17 2" xfId="35724"/>
    <cellStyle name="Normal 3 2 3 2 18" xfId="13605"/>
    <cellStyle name="Normal 3 2 3 2 18 2" xfId="36380"/>
    <cellStyle name="Normal 3 2 3 2 19" xfId="14261"/>
    <cellStyle name="Normal 3 2 3 2 19 2" xfId="37036"/>
    <cellStyle name="Normal 3 2 3 2 2" xfId="1469"/>
    <cellStyle name="Normal 3 2 3 2 2 2" xfId="3765"/>
    <cellStyle name="Normal 3 2 3 2 2 2 2" xfId="26540"/>
    <cellStyle name="Normal 3 2 3 2 2 3" xfId="24244"/>
    <cellStyle name="Normal 3 2 3 2 20" xfId="14917"/>
    <cellStyle name="Normal 3 2 3 2 20 2" xfId="37692"/>
    <cellStyle name="Normal 3 2 3 2 21" xfId="15573"/>
    <cellStyle name="Normal 3 2 3 2 21 2" xfId="38348"/>
    <cellStyle name="Normal 3 2 3 2 22" xfId="16229"/>
    <cellStyle name="Normal 3 2 3 2 22 2" xfId="39004"/>
    <cellStyle name="Normal 3 2 3 2 23" xfId="16885"/>
    <cellStyle name="Normal 3 2 3 2 23 2" xfId="39660"/>
    <cellStyle name="Normal 3 2 3 2 24" xfId="17541"/>
    <cellStyle name="Normal 3 2 3 2 24 2" xfId="40316"/>
    <cellStyle name="Normal 3 2 3 2 25" xfId="18197"/>
    <cellStyle name="Normal 3 2 3 2 25 2" xfId="40972"/>
    <cellStyle name="Normal 3 2 3 2 26" xfId="18853"/>
    <cellStyle name="Normal 3 2 3 2 26 2" xfId="41628"/>
    <cellStyle name="Normal 3 2 3 2 27" xfId="19509"/>
    <cellStyle name="Normal 3 2 3 2 27 2" xfId="42284"/>
    <cellStyle name="Normal 3 2 3 2 28" xfId="20165"/>
    <cellStyle name="Normal 3 2 3 2 28 2" xfId="42940"/>
    <cellStyle name="Normal 3 2 3 2 29" xfId="20821"/>
    <cellStyle name="Normal 3 2 3 2 29 2" xfId="43596"/>
    <cellStyle name="Normal 3 2 3 2 3" xfId="2125"/>
    <cellStyle name="Normal 3 2 3 2 3 2" xfId="4421"/>
    <cellStyle name="Normal 3 2 3 2 3 2 2" xfId="27196"/>
    <cellStyle name="Normal 3 2 3 2 3 3" xfId="24900"/>
    <cellStyle name="Normal 3 2 3 2 30" xfId="21477"/>
    <cellStyle name="Normal 3 2 3 2 30 2" xfId="44252"/>
    <cellStyle name="Normal 3 2 3 2 31" xfId="22133"/>
    <cellStyle name="Normal 3 2 3 2 31 2" xfId="44908"/>
    <cellStyle name="Normal 3 2 3 2 32" xfId="22789"/>
    <cellStyle name="Normal 3 2 3 2 32 2" xfId="45564"/>
    <cellStyle name="Normal 3 2 3 2 33" xfId="23588"/>
    <cellStyle name="Normal 3 2 3 2 4" xfId="5077"/>
    <cellStyle name="Normal 3 2 3 2 4 2" xfId="27852"/>
    <cellStyle name="Normal 3 2 3 2 5" xfId="5733"/>
    <cellStyle name="Normal 3 2 3 2 5 2" xfId="28508"/>
    <cellStyle name="Normal 3 2 3 2 6" xfId="6389"/>
    <cellStyle name="Normal 3 2 3 2 6 2" xfId="29164"/>
    <cellStyle name="Normal 3 2 3 2 7" xfId="3109"/>
    <cellStyle name="Normal 3 2 3 2 7 2" xfId="25884"/>
    <cellStyle name="Normal 3 2 3 2 8" xfId="7045"/>
    <cellStyle name="Normal 3 2 3 2 8 2" xfId="29820"/>
    <cellStyle name="Normal 3 2 3 2 9" xfId="7701"/>
    <cellStyle name="Normal 3 2 3 2 9 2" xfId="30476"/>
    <cellStyle name="Normal 3 2 3 20" xfId="13277"/>
    <cellStyle name="Normal 3 2 3 20 2" xfId="36052"/>
    <cellStyle name="Normal 3 2 3 21" xfId="13933"/>
    <cellStyle name="Normal 3 2 3 21 2" xfId="36708"/>
    <cellStyle name="Normal 3 2 3 22" xfId="14589"/>
    <cellStyle name="Normal 3 2 3 22 2" xfId="37364"/>
    <cellStyle name="Normal 3 2 3 23" xfId="15245"/>
    <cellStyle name="Normal 3 2 3 23 2" xfId="38020"/>
    <cellStyle name="Normal 3 2 3 24" xfId="15901"/>
    <cellStyle name="Normal 3 2 3 24 2" xfId="38676"/>
    <cellStyle name="Normal 3 2 3 25" xfId="16557"/>
    <cellStyle name="Normal 3 2 3 25 2" xfId="39332"/>
    <cellStyle name="Normal 3 2 3 26" xfId="17213"/>
    <cellStyle name="Normal 3 2 3 26 2" xfId="39988"/>
    <cellStyle name="Normal 3 2 3 27" xfId="17869"/>
    <cellStyle name="Normal 3 2 3 27 2" xfId="40644"/>
    <cellStyle name="Normal 3 2 3 28" xfId="18525"/>
    <cellStyle name="Normal 3 2 3 28 2" xfId="41300"/>
    <cellStyle name="Normal 3 2 3 29" xfId="19181"/>
    <cellStyle name="Normal 3 2 3 29 2" xfId="41956"/>
    <cellStyle name="Normal 3 2 3 3" xfId="1141"/>
    <cellStyle name="Normal 3 2 3 3 2" xfId="2781"/>
    <cellStyle name="Normal 3 2 3 3 2 2" xfId="25556"/>
    <cellStyle name="Normal 3 2 3 3 3" xfId="23916"/>
    <cellStyle name="Normal 3 2 3 30" xfId="19837"/>
    <cellStyle name="Normal 3 2 3 30 2" xfId="42612"/>
    <cellStyle name="Normal 3 2 3 31" xfId="20493"/>
    <cellStyle name="Normal 3 2 3 31 2" xfId="43268"/>
    <cellStyle name="Normal 3 2 3 32" xfId="21149"/>
    <cellStyle name="Normal 3 2 3 32 2" xfId="43924"/>
    <cellStyle name="Normal 3 2 3 33" xfId="21805"/>
    <cellStyle name="Normal 3 2 3 33 2" xfId="44580"/>
    <cellStyle name="Normal 3 2 3 34" xfId="22461"/>
    <cellStyle name="Normal 3 2 3 34 2" xfId="45236"/>
    <cellStyle name="Normal 3 2 3 35" xfId="23260"/>
    <cellStyle name="Normal 3 2 3 4" xfId="1797"/>
    <cellStyle name="Normal 3 2 3 4 2" xfId="3437"/>
    <cellStyle name="Normal 3 2 3 4 2 2" xfId="26212"/>
    <cellStyle name="Normal 3 2 3 4 3" xfId="24572"/>
    <cellStyle name="Normal 3 2 3 5" xfId="4093"/>
    <cellStyle name="Normal 3 2 3 5 2" xfId="26868"/>
    <cellStyle name="Normal 3 2 3 6" xfId="4749"/>
    <cellStyle name="Normal 3 2 3 6 2" xfId="27524"/>
    <cellStyle name="Normal 3 2 3 7" xfId="5405"/>
    <cellStyle name="Normal 3 2 3 7 2" xfId="28180"/>
    <cellStyle name="Normal 3 2 3 8" xfId="6061"/>
    <cellStyle name="Normal 3 2 3 8 2" xfId="28836"/>
    <cellStyle name="Normal 3 2 3 9" xfId="2453"/>
    <cellStyle name="Normal 3 2 3 9 2" xfId="25228"/>
    <cellStyle name="Normal 3 2 30" xfId="18340"/>
    <cellStyle name="Normal 3 2 30 2" xfId="41115"/>
    <cellStyle name="Normal 3 2 31" xfId="18996"/>
    <cellStyle name="Normal 3 2 31 2" xfId="41771"/>
    <cellStyle name="Normal 3 2 32" xfId="19652"/>
    <cellStyle name="Normal 3 2 32 2" xfId="42427"/>
    <cellStyle name="Normal 3 2 33" xfId="20308"/>
    <cellStyle name="Normal 3 2 33 2" xfId="43083"/>
    <cellStyle name="Normal 3 2 34" xfId="20964"/>
    <cellStyle name="Normal 3 2 34 2" xfId="43739"/>
    <cellStyle name="Normal 3 2 35" xfId="21620"/>
    <cellStyle name="Normal 3 2 35 2" xfId="44395"/>
    <cellStyle name="Normal 3 2 36" xfId="22276"/>
    <cellStyle name="Normal 3 2 36 2" xfId="45051"/>
    <cellStyle name="Normal 3 2 37" xfId="215"/>
    <cellStyle name="Normal 3 2 38" xfId="22932"/>
    <cellStyle name="Normal 3 2 4" xfId="628"/>
    <cellStyle name="Normal 3 2 4 10" xfId="8172"/>
    <cellStyle name="Normal 3 2 4 10 2" xfId="30947"/>
    <cellStyle name="Normal 3 2 4 11" xfId="8828"/>
    <cellStyle name="Normal 3 2 4 11 2" xfId="31603"/>
    <cellStyle name="Normal 3 2 4 12" xfId="9484"/>
    <cellStyle name="Normal 3 2 4 12 2" xfId="32259"/>
    <cellStyle name="Normal 3 2 4 13" xfId="10140"/>
    <cellStyle name="Normal 3 2 4 13 2" xfId="32915"/>
    <cellStyle name="Normal 3 2 4 14" xfId="10796"/>
    <cellStyle name="Normal 3 2 4 14 2" xfId="33571"/>
    <cellStyle name="Normal 3 2 4 15" xfId="11452"/>
    <cellStyle name="Normal 3 2 4 15 2" xfId="34227"/>
    <cellStyle name="Normal 3 2 4 16" xfId="12108"/>
    <cellStyle name="Normal 3 2 4 16 2" xfId="34883"/>
    <cellStyle name="Normal 3 2 4 17" xfId="12764"/>
    <cellStyle name="Normal 3 2 4 17 2" xfId="35539"/>
    <cellStyle name="Normal 3 2 4 18" xfId="13420"/>
    <cellStyle name="Normal 3 2 4 18 2" xfId="36195"/>
    <cellStyle name="Normal 3 2 4 19" xfId="14076"/>
    <cellStyle name="Normal 3 2 4 19 2" xfId="36851"/>
    <cellStyle name="Normal 3 2 4 2" xfId="1284"/>
    <cellStyle name="Normal 3 2 4 2 2" xfId="3580"/>
    <cellStyle name="Normal 3 2 4 2 2 2" xfId="26355"/>
    <cellStyle name="Normal 3 2 4 2 3" xfId="24059"/>
    <cellStyle name="Normal 3 2 4 20" xfId="14732"/>
    <cellStyle name="Normal 3 2 4 20 2" xfId="37507"/>
    <cellStyle name="Normal 3 2 4 21" xfId="15388"/>
    <cellStyle name="Normal 3 2 4 21 2" xfId="38163"/>
    <cellStyle name="Normal 3 2 4 22" xfId="16044"/>
    <cellStyle name="Normal 3 2 4 22 2" xfId="38819"/>
    <cellStyle name="Normal 3 2 4 23" xfId="16700"/>
    <cellStyle name="Normal 3 2 4 23 2" xfId="39475"/>
    <cellStyle name="Normal 3 2 4 24" xfId="17356"/>
    <cellStyle name="Normal 3 2 4 24 2" xfId="40131"/>
    <cellStyle name="Normal 3 2 4 25" xfId="18012"/>
    <cellStyle name="Normal 3 2 4 25 2" xfId="40787"/>
    <cellStyle name="Normal 3 2 4 26" xfId="18668"/>
    <cellStyle name="Normal 3 2 4 26 2" xfId="41443"/>
    <cellStyle name="Normal 3 2 4 27" xfId="19324"/>
    <cellStyle name="Normal 3 2 4 27 2" xfId="42099"/>
    <cellStyle name="Normal 3 2 4 28" xfId="19980"/>
    <cellStyle name="Normal 3 2 4 28 2" xfId="42755"/>
    <cellStyle name="Normal 3 2 4 29" xfId="20636"/>
    <cellStyle name="Normal 3 2 4 29 2" xfId="43411"/>
    <cellStyle name="Normal 3 2 4 3" xfId="1940"/>
    <cellStyle name="Normal 3 2 4 3 2" xfId="4236"/>
    <cellStyle name="Normal 3 2 4 3 2 2" xfId="27011"/>
    <cellStyle name="Normal 3 2 4 3 3" xfId="24715"/>
    <cellStyle name="Normal 3 2 4 30" xfId="21292"/>
    <cellStyle name="Normal 3 2 4 30 2" xfId="44067"/>
    <cellStyle name="Normal 3 2 4 31" xfId="21948"/>
    <cellStyle name="Normal 3 2 4 31 2" xfId="44723"/>
    <cellStyle name="Normal 3 2 4 32" xfId="22604"/>
    <cellStyle name="Normal 3 2 4 32 2" xfId="45379"/>
    <cellStyle name="Normal 3 2 4 33" xfId="23403"/>
    <cellStyle name="Normal 3 2 4 4" xfId="4892"/>
    <cellStyle name="Normal 3 2 4 4 2" xfId="27667"/>
    <cellStyle name="Normal 3 2 4 5" xfId="5548"/>
    <cellStyle name="Normal 3 2 4 5 2" xfId="28323"/>
    <cellStyle name="Normal 3 2 4 6" xfId="6204"/>
    <cellStyle name="Normal 3 2 4 6 2" xfId="28979"/>
    <cellStyle name="Normal 3 2 4 7" xfId="2924"/>
    <cellStyle name="Normal 3 2 4 7 2" xfId="25699"/>
    <cellStyle name="Normal 3 2 4 8" xfId="6860"/>
    <cellStyle name="Normal 3 2 4 8 2" xfId="29635"/>
    <cellStyle name="Normal 3 2 4 9" xfId="7516"/>
    <cellStyle name="Normal 3 2 4 9 2" xfId="30291"/>
    <cellStyle name="Normal 3 2 5" xfId="301"/>
    <cellStyle name="Normal 3 2 5 2" xfId="2596"/>
    <cellStyle name="Normal 3 2 5 2 2" xfId="25371"/>
    <cellStyle name="Normal 3 2 5 3" xfId="23075"/>
    <cellStyle name="Normal 3 2 6" xfId="956"/>
    <cellStyle name="Normal 3 2 6 2" xfId="3252"/>
    <cellStyle name="Normal 3 2 6 2 2" xfId="26027"/>
    <cellStyle name="Normal 3 2 6 3" xfId="23731"/>
    <cellStyle name="Normal 3 2 7" xfId="1612"/>
    <cellStyle name="Normal 3 2 7 2" xfId="3908"/>
    <cellStyle name="Normal 3 2 7 2 2" xfId="26683"/>
    <cellStyle name="Normal 3 2 7 3" xfId="24387"/>
    <cellStyle name="Normal 3 2 8" xfId="4564"/>
    <cellStyle name="Normal 3 2 8 2" xfId="27339"/>
    <cellStyle name="Normal 3 2 9" xfId="5220"/>
    <cellStyle name="Normal 3 2 9 2" xfId="27995"/>
    <cellStyle name="Normal 3 20" xfId="10452"/>
    <cellStyle name="Normal 3 20 2" xfId="33227"/>
    <cellStyle name="Normal 3 21" xfId="11108"/>
    <cellStyle name="Normal 3 21 2" xfId="33883"/>
    <cellStyle name="Normal 3 22" xfId="11764"/>
    <cellStyle name="Normal 3 22 2" xfId="34539"/>
    <cellStyle name="Normal 3 23" xfId="12420"/>
    <cellStyle name="Normal 3 23 2" xfId="35195"/>
    <cellStyle name="Normal 3 24" xfId="13076"/>
    <cellStyle name="Normal 3 24 2" xfId="35851"/>
    <cellStyle name="Normal 3 25" xfId="13732"/>
    <cellStyle name="Normal 3 25 2" xfId="36507"/>
    <cellStyle name="Normal 3 26" xfId="14388"/>
    <cellStyle name="Normal 3 26 2" xfId="37163"/>
    <cellStyle name="Normal 3 27" xfId="15044"/>
    <cellStyle name="Normal 3 27 2" xfId="37819"/>
    <cellStyle name="Normal 3 28" xfId="15700"/>
    <cellStyle name="Normal 3 28 2" xfId="38475"/>
    <cellStyle name="Normal 3 29" xfId="16356"/>
    <cellStyle name="Normal 3 29 2" xfId="39131"/>
    <cellStyle name="Normal 3 3" xfId="64"/>
    <cellStyle name="Normal 3 3 10" xfId="2338"/>
    <cellStyle name="Normal 3 3 10 2" xfId="25113"/>
    <cellStyle name="Normal 3 3 11" xfId="6602"/>
    <cellStyle name="Normal 3 3 11 2" xfId="29377"/>
    <cellStyle name="Normal 3 3 12" xfId="7258"/>
    <cellStyle name="Normal 3 3 12 2" xfId="30033"/>
    <cellStyle name="Normal 3 3 13" xfId="7914"/>
    <cellStyle name="Normal 3 3 13 2" xfId="30689"/>
    <cellStyle name="Normal 3 3 14" xfId="8570"/>
    <cellStyle name="Normal 3 3 14 2" xfId="31345"/>
    <cellStyle name="Normal 3 3 15" xfId="9226"/>
    <cellStyle name="Normal 3 3 15 2" xfId="32001"/>
    <cellStyle name="Normal 3 3 16" xfId="9882"/>
    <cellStyle name="Normal 3 3 16 2" xfId="32657"/>
    <cellStyle name="Normal 3 3 17" xfId="10538"/>
    <cellStyle name="Normal 3 3 17 2" xfId="33313"/>
    <cellStyle name="Normal 3 3 18" xfId="11194"/>
    <cellStyle name="Normal 3 3 18 2" xfId="33969"/>
    <cellStyle name="Normal 3 3 19" xfId="11850"/>
    <cellStyle name="Normal 3 3 19 2" xfId="34625"/>
    <cellStyle name="Normal 3 3 2" xfId="554"/>
    <cellStyle name="Normal 3 3 2 10" xfId="6787"/>
    <cellStyle name="Normal 3 3 2 10 2" xfId="29562"/>
    <cellStyle name="Normal 3 3 2 11" xfId="7443"/>
    <cellStyle name="Normal 3 3 2 11 2" xfId="30218"/>
    <cellStyle name="Normal 3 3 2 12" xfId="8099"/>
    <cellStyle name="Normal 3 3 2 12 2" xfId="30874"/>
    <cellStyle name="Normal 3 3 2 13" xfId="8755"/>
    <cellStyle name="Normal 3 3 2 13 2" xfId="31530"/>
    <cellStyle name="Normal 3 3 2 14" xfId="9411"/>
    <cellStyle name="Normal 3 3 2 14 2" xfId="32186"/>
    <cellStyle name="Normal 3 3 2 15" xfId="10067"/>
    <cellStyle name="Normal 3 3 2 15 2" xfId="32842"/>
    <cellStyle name="Normal 3 3 2 16" xfId="10723"/>
    <cellStyle name="Normal 3 3 2 16 2" xfId="33498"/>
    <cellStyle name="Normal 3 3 2 17" xfId="11379"/>
    <cellStyle name="Normal 3 3 2 17 2" xfId="34154"/>
    <cellStyle name="Normal 3 3 2 18" xfId="12035"/>
    <cellStyle name="Normal 3 3 2 18 2" xfId="34810"/>
    <cellStyle name="Normal 3 3 2 19" xfId="12691"/>
    <cellStyle name="Normal 3 3 2 19 2" xfId="35466"/>
    <cellStyle name="Normal 3 3 2 2" xfId="883"/>
    <cellStyle name="Normal 3 3 2 2 10" xfId="8427"/>
    <cellStyle name="Normal 3 3 2 2 10 2" xfId="31202"/>
    <cellStyle name="Normal 3 3 2 2 11" xfId="9083"/>
    <cellStyle name="Normal 3 3 2 2 11 2" xfId="31858"/>
    <cellStyle name="Normal 3 3 2 2 12" xfId="9739"/>
    <cellStyle name="Normal 3 3 2 2 12 2" xfId="32514"/>
    <cellStyle name="Normal 3 3 2 2 13" xfId="10395"/>
    <cellStyle name="Normal 3 3 2 2 13 2" xfId="33170"/>
    <cellStyle name="Normal 3 3 2 2 14" xfId="11051"/>
    <cellStyle name="Normal 3 3 2 2 14 2" xfId="33826"/>
    <cellStyle name="Normal 3 3 2 2 15" xfId="11707"/>
    <cellStyle name="Normal 3 3 2 2 15 2" xfId="34482"/>
    <cellStyle name="Normal 3 3 2 2 16" xfId="12363"/>
    <cellStyle name="Normal 3 3 2 2 16 2" xfId="35138"/>
    <cellStyle name="Normal 3 3 2 2 17" xfId="13019"/>
    <cellStyle name="Normal 3 3 2 2 17 2" xfId="35794"/>
    <cellStyle name="Normal 3 3 2 2 18" xfId="13675"/>
    <cellStyle name="Normal 3 3 2 2 18 2" xfId="36450"/>
    <cellStyle name="Normal 3 3 2 2 19" xfId="14331"/>
    <cellStyle name="Normal 3 3 2 2 19 2" xfId="37106"/>
    <cellStyle name="Normal 3 3 2 2 2" xfId="1539"/>
    <cellStyle name="Normal 3 3 2 2 2 2" xfId="3835"/>
    <cellStyle name="Normal 3 3 2 2 2 2 2" xfId="26610"/>
    <cellStyle name="Normal 3 3 2 2 2 3" xfId="24314"/>
    <cellStyle name="Normal 3 3 2 2 20" xfId="14987"/>
    <cellStyle name="Normal 3 3 2 2 20 2" xfId="37762"/>
    <cellStyle name="Normal 3 3 2 2 21" xfId="15643"/>
    <cellStyle name="Normal 3 3 2 2 21 2" xfId="38418"/>
    <cellStyle name="Normal 3 3 2 2 22" xfId="16299"/>
    <cellStyle name="Normal 3 3 2 2 22 2" xfId="39074"/>
    <cellStyle name="Normal 3 3 2 2 23" xfId="16955"/>
    <cellStyle name="Normal 3 3 2 2 23 2" xfId="39730"/>
    <cellStyle name="Normal 3 3 2 2 24" xfId="17611"/>
    <cellStyle name="Normal 3 3 2 2 24 2" xfId="40386"/>
    <cellStyle name="Normal 3 3 2 2 25" xfId="18267"/>
    <cellStyle name="Normal 3 3 2 2 25 2" xfId="41042"/>
    <cellStyle name="Normal 3 3 2 2 26" xfId="18923"/>
    <cellStyle name="Normal 3 3 2 2 26 2" xfId="41698"/>
    <cellStyle name="Normal 3 3 2 2 27" xfId="19579"/>
    <cellStyle name="Normal 3 3 2 2 27 2" xfId="42354"/>
    <cellStyle name="Normal 3 3 2 2 28" xfId="20235"/>
    <cellStyle name="Normal 3 3 2 2 28 2" xfId="43010"/>
    <cellStyle name="Normal 3 3 2 2 29" xfId="20891"/>
    <cellStyle name="Normal 3 3 2 2 29 2" xfId="43666"/>
    <cellStyle name="Normal 3 3 2 2 3" xfId="2195"/>
    <cellStyle name="Normal 3 3 2 2 3 2" xfId="4491"/>
    <cellStyle name="Normal 3 3 2 2 3 2 2" xfId="27266"/>
    <cellStyle name="Normal 3 3 2 2 3 3" xfId="24970"/>
    <cellStyle name="Normal 3 3 2 2 30" xfId="21547"/>
    <cellStyle name="Normal 3 3 2 2 30 2" xfId="44322"/>
    <cellStyle name="Normal 3 3 2 2 31" xfId="22203"/>
    <cellStyle name="Normal 3 3 2 2 31 2" xfId="44978"/>
    <cellStyle name="Normal 3 3 2 2 32" xfId="22859"/>
    <cellStyle name="Normal 3 3 2 2 32 2" xfId="45634"/>
    <cellStyle name="Normal 3 3 2 2 33" xfId="23658"/>
    <cellStyle name="Normal 3 3 2 2 4" xfId="5147"/>
    <cellStyle name="Normal 3 3 2 2 4 2" xfId="27922"/>
    <cellStyle name="Normal 3 3 2 2 5" xfId="5803"/>
    <cellStyle name="Normal 3 3 2 2 5 2" xfId="28578"/>
    <cellStyle name="Normal 3 3 2 2 6" xfId="6459"/>
    <cellStyle name="Normal 3 3 2 2 6 2" xfId="29234"/>
    <cellStyle name="Normal 3 3 2 2 7" xfId="3179"/>
    <cellStyle name="Normal 3 3 2 2 7 2" xfId="25954"/>
    <cellStyle name="Normal 3 3 2 2 8" xfId="7115"/>
    <cellStyle name="Normal 3 3 2 2 8 2" xfId="29890"/>
    <cellStyle name="Normal 3 3 2 2 9" xfId="7771"/>
    <cellStyle name="Normal 3 3 2 2 9 2" xfId="30546"/>
    <cellStyle name="Normal 3 3 2 20" xfId="13347"/>
    <cellStyle name="Normal 3 3 2 20 2" xfId="36122"/>
    <cellStyle name="Normal 3 3 2 21" xfId="14003"/>
    <cellStyle name="Normal 3 3 2 21 2" xfId="36778"/>
    <cellStyle name="Normal 3 3 2 22" xfId="14659"/>
    <cellStyle name="Normal 3 3 2 22 2" xfId="37434"/>
    <cellStyle name="Normal 3 3 2 23" xfId="15315"/>
    <cellStyle name="Normal 3 3 2 23 2" xfId="38090"/>
    <cellStyle name="Normal 3 3 2 24" xfId="15971"/>
    <cellStyle name="Normal 3 3 2 24 2" xfId="38746"/>
    <cellStyle name="Normal 3 3 2 25" xfId="16627"/>
    <cellStyle name="Normal 3 3 2 25 2" xfId="39402"/>
    <cellStyle name="Normal 3 3 2 26" xfId="17283"/>
    <cellStyle name="Normal 3 3 2 26 2" xfId="40058"/>
    <cellStyle name="Normal 3 3 2 27" xfId="17939"/>
    <cellStyle name="Normal 3 3 2 27 2" xfId="40714"/>
    <cellStyle name="Normal 3 3 2 28" xfId="18595"/>
    <cellStyle name="Normal 3 3 2 28 2" xfId="41370"/>
    <cellStyle name="Normal 3 3 2 29" xfId="19251"/>
    <cellStyle name="Normal 3 3 2 29 2" xfId="42026"/>
    <cellStyle name="Normal 3 3 2 3" xfId="1211"/>
    <cellStyle name="Normal 3 3 2 3 2" xfId="2851"/>
    <cellStyle name="Normal 3 3 2 3 2 2" xfId="25626"/>
    <cellStyle name="Normal 3 3 2 3 3" xfId="23986"/>
    <cellStyle name="Normal 3 3 2 30" xfId="19907"/>
    <cellStyle name="Normal 3 3 2 30 2" xfId="42682"/>
    <cellStyle name="Normal 3 3 2 31" xfId="20563"/>
    <cellStyle name="Normal 3 3 2 31 2" xfId="43338"/>
    <cellStyle name="Normal 3 3 2 32" xfId="21219"/>
    <cellStyle name="Normal 3 3 2 32 2" xfId="43994"/>
    <cellStyle name="Normal 3 3 2 33" xfId="21875"/>
    <cellStyle name="Normal 3 3 2 33 2" xfId="44650"/>
    <cellStyle name="Normal 3 3 2 34" xfId="22531"/>
    <cellStyle name="Normal 3 3 2 34 2" xfId="45306"/>
    <cellStyle name="Normal 3 3 2 35" xfId="23330"/>
    <cellStyle name="Normal 3 3 2 4" xfId="1867"/>
    <cellStyle name="Normal 3 3 2 4 2" xfId="3507"/>
    <cellStyle name="Normal 3 3 2 4 2 2" xfId="26282"/>
    <cellStyle name="Normal 3 3 2 4 3" xfId="24642"/>
    <cellStyle name="Normal 3 3 2 5" xfId="4163"/>
    <cellStyle name="Normal 3 3 2 5 2" xfId="26938"/>
    <cellStyle name="Normal 3 3 2 6" xfId="4819"/>
    <cellStyle name="Normal 3 3 2 6 2" xfId="27594"/>
    <cellStyle name="Normal 3 3 2 7" xfId="5475"/>
    <cellStyle name="Normal 3 3 2 7 2" xfId="28250"/>
    <cellStyle name="Normal 3 3 2 8" xfId="6131"/>
    <cellStyle name="Normal 3 3 2 8 2" xfId="28906"/>
    <cellStyle name="Normal 3 3 2 9" xfId="2523"/>
    <cellStyle name="Normal 3 3 2 9 2" xfId="25298"/>
    <cellStyle name="Normal 3 3 20" xfId="12506"/>
    <cellStyle name="Normal 3 3 20 2" xfId="35281"/>
    <cellStyle name="Normal 3 3 21" xfId="13162"/>
    <cellStyle name="Normal 3 3 21 2" xfId="35937"/>
    <cellStyle name="Normal 3 3 22" xfId="13818"/>
    <cellStyle name="Normal 3 3 22 2" xfId="36593"/>
    <cellStyle name="Normal 3 3 23" xfId="14474"/>
    <cellStyle name="Normal 3 3 23 2" xfId="37249"/>
    <cellStyle name="Normal 3 3 24" xfId="15130"/>
    <cellStyle name="Normal 3 3 24 2" xfId="37905"/>
    <cellStyle name="Normal 3 3 25" xfId="15786"/>
    <cellStyle name="Normal 3 3 25 2" xfId="38561"/>
    <cellStyle name="Normal 3 3 26" xfId="16442"/>
    <cellStyle name="Normal 3 3 26 2" xfId="39217"/>
    <cellStyle name="Normal 3 3 27" xfId="17098"/>
    <cellStyle name="Normal 3 3 27 2" xfId="39873"/>
    <cellStyle name="Normal 3 3 28" xfId="17754"/>
    <cellStyle name="Normal 3 3 28 2" xfId="40529"/>
    <cellStyle name="Normal 3 3 29" xfId="18410"/>
    <cellStyle name="Normal 3 3 29 2" xfId="41185"/>
    <cellStyle name="Normal 3 3 3" xfId="698"/>
    <cellStyle name="Normal 3 3 3 10" xfId="8242"/>
    <cellStyle name="Normal 3 3 3 10 2" xfId="31017"/>
    <cellStyle name="Normal 3 3 3 11" xfId="8898"/>
    <cellStyle name="Normal 3 3 3 11 2" xfId="31673"/>
    <cellStyle name="Normal 3 3 3 12" xfId="9554"/>
    <cellStyle name="Normal 3 3 3 12 2" xfId="32329"/>
    <cellStyle name="Normal 3 3 3 13" xfId="10210"/>
    <cellStyle name="Normal 3 3 3 13 2" xfId="32985"/>
    <cellStyle name="Normal 3 3 3 14" xfId="10866"/>
    <cellStyle name="Normal 3 3 3 14 2" xfId="33641"/>
    <cellStyle name="Normal 3 3 3 15" xfId="11522"/>
    <cellStyle name="Normal 3 3 3 15 2" xfId="34297"/>
    <cellStyle name="Normal 3 3 3 16" xfId="12178"/>
    <cellStyle name="Normal 3 3 3 16 2" xfId="34953"/>
    <cellStyle name="Normal 3 3 3 17" xfId="12834"/>
    <cellStyle name="Normal 3 3 3 17 2" xfId="35609"/>
    <cellStyle name="Normal 3 3 3 18" xfId="13490"/>
    <cellStyle name="Normal 3 3 3 18 2" xfId="36265"/>
    <cellStyle name="Normal 3 3 3 19" xfId="14146"/>
    <cellStyle name="Normal 3 3 3 19 2" xfId="36921"/>
    <cellStyle name="Normal 3 3 3 2" xfId="1354"/>
    <cellStyle name="Normal 3 3 3 2 2" xfId="3650"/>
    <cellStyle name="Normal 3 3 3 2 2 2" xfId="26425"/>
    <cellStyle name="Normal 3 3 3 2 3" xfId="24129"/>
    <cellStyle name="Normal 3 3 3 20" xfId="14802"/>
    <cellStyle name="Normal 3 3 3 20 2" xfId="37577"/>
    <cellStyle name="Normal 3 3 3 21" xfId="15458"/>
    <cellStyle name="Normal 3 3 3 21 2" xfId="38233"/>
    <cellStyle name="Normal 3 3 3 22" xfId="16114"/>
    <cellStyle name="Normal 3 3 3 22 2" xfId="38889"/>
    <cellStyle name="Normal 3 3 3 23" xfId="16770"/>
    <cellStyle name="Normal 3 3 3 23 2" xfId="39545"/>
    <cellStyle name="Normal 3 3 3 24" xfId="17426"/>
    <cellStyle name="Normal 3 3 3 24 2" xfId="40201"/>
    <cellStyle name="Normal 3 3 3 25" xfId="18082"/>
    <cellStyle name="Normal 3 3 3 25 2" xfId="40857"/>
    <cellStyle name="Normal 3 3 3 26" xfId="18738"/>
    <cellStyle name="Normal 3 3 3 26 2" xfId="41513"/>
    <cellStyle name="Normal 3 3 3 27" xfId="19394"/>
    <cellStyle name="Normal 3 3 3 27 2" xfId="42169"/>
    <cellStyle name="Normal 3 3 3 28" xfId="20050"/>
    <cellStyle name="Normal 3 3 3 28 2" xfId="42825"/>
    <cellStyle name="Normal 3 3 3 29" xfId="20706"/>
    <cellStyle name="Normal 3 3 3 29 2" xfId="43481"/>
    <cellStyle name="Normal 3 3 3 3" xfId="2010"/>
    <cellStyle name="Normal 3 3 3 3 2" xfId="4306"/>
    <cellStyle name="Normal 3 3 3 3 2 2" xfId="27081"/>
    <cellStyle name="Normal 3 3 3 3 3" xfId="24785"/>
    <cellStyle name="Normal 3 3 3 30" xfId="21362"/>
    <cellStyle name="Normal 3 3 3 30 2" xfId="44137"/>
    <cellStyle name="Normal 3 3 3 31" xfId="22018"/>
    <cellStyle name="Normal 3 3 3 31 2" xfId="44793"/>
    <cellStyle name="Normal 3 3 3 32" xfId="22674"/>
    <cellStyle name="Normal 3 3 3 32 2" xfId="45449"/>
    <cellStyle name="Normal 3 3 3 33" xfId="23473"/>
    <cellStyle name="Normal 3 3 3 4" xfId="4962"/>
    <cellStyle name="Normal 3 3 3 4 2" xfId="27737"/>
    <cellStyle name="Normal 3 3 3 5" xfId="5618"/>
    <cellStyle name="Normal 3 3 3 5 2" xfId="28393"/>
    <cellStyle name="Normal 3 3 3 6" xfId="6274"/>
    <cellStyle name="Normal 3 3 3 6 2" xfId="29049"/>
    <cellStyle name="Normal 3 3 3 7" xfId="2994"/>
    <cellStyle name="Normal 3 3 3 7 2" xfId="25769"/>
    <cellStyle name="Normal 3 3 3 8" xfId="6930"/>
    <cellStyle name="Normal 3 3 3 8 2" xfId="29705"/>
    <cellStyle name="Normal 3 3 3 9" xfId="7586"/>
    <cellStyle name="Normal 3 3 3 9 2" xfId="30361"/>
    <cellStyle name="Normal 3 3 30" xfId="19066"/>
    <cellStyle name="Normal 3 3 30 2" xfId="41841"/>
    <cellStyle name="Normal 3 3 31" xfId="19722"/>
    <cellStyle name="Normal 3 3 31 2" xfId="42497"/>
    <cellStyle name="Normal 3 3 32" xfId="20378"/>
    <cellStyle name="Normal 3 3 32 2" xfId="43153"/>
    <cellStyle name="Normal 3 3 33" xfId="21034"/>
    <cellStyle name="Normal 3 3 33 2" xfId="43809"/>
    <cellStyle name="Normal 3 3 34" xfId="21690"/>
    <cellStyle name="Normal 3 3 34 2" xfId="44465"/>
    <cellStyle name="Normal 3 3 35" xfId="22346"/>
    <cellStyle name="Normal 3 3 35 2" xfId="45121"/>
    <cellStyle name="Normal 3 3 36" xfId="271"/>
    <cellStyle name="Normal 3 3 37" xfId="23002"/>
    <cellStyle name="Normal 3 3 4" xfId="371"/>
    <cellStyle name="Normal 3 3 4 2" xfId="2666"/>
    <cellStyle name="Normal 3 3 4 2 2" xfId="25441"/>
    <cellStyle name="Normal 3 3 4 3" xfId="23145"/>
    <cellStyle name="Normal 3 3 5" xfId="1026"/>
    <cellStyle name="Normal 3 3 5 2" xfId="3322"/>
    <cellStyle name="Normal 3 3 5 2 2" xfId="26097"/>
    <cellStyle name="Normal 3 3 5 3" xfId="23801"/>
    <cellStyle name="Normal 3 3 6" xfId="1682"/>
    <cellStyle name="Normal 3 3 6 2" xfId="3978"/>
    <cellStyle name="Normal 3 3 6 2 2" xfId="26753"/>
    <cellStyle name="Normal 3 3 6 3" xfId="24457"/>
    <cellStyle name="Normal 3 3 7" xfId="4634"/>
    <cellStyle name="Normal 3 3 7 2" xfId="27409"/>
    <cellStyle name="Normal 3 3 8" xfId="5290"/>
    <cellStyle name="Normal 3 3 8 2" xfId="28065"/>
    <cellStyle name="Normal 3 3 9" xfId="5946"/>
    <cellStyle name="Normal 3 3 9 2" xfId="28721"/>
    <cellStyle name="Normal 3 30" xfId="17012"/>
    <cellStyle name="Normal 3 30 2" xfId="39787"/>
    <cellStyle name="Normal 3 31" xfId="17668"/>
    <cellStyle name="Normal 3 31 2" xfId="40443"/>
    <cellStyle name="Normal 3 32" xfId="18324"/>
    <cellStyle name="Normal 3 32 2" xfId="41099"/>
    <cellStyle name="Normal 3 33" xfId="18980"/>
    <cellStyle name="Normal 3 33 2" xfId="41755"/>
    <cellStyle name="Normal 3 34" xfId="19636"/>
    <cellStyle name="Normal 3 34 2" xfId="42411"/>
    <cellStyle name="Normal 3 35" xfId="20292"/>
    <cellStyle name="Normal 3 35 2" xfId="43067"/>
    <cellStyle name="Normal 3 36" xfId="20948"/>
    <cellStyle name="Normal 3 36 2" xfId="43723"/>
    <cellStyle name="Normal 3 37" xfId="21604"/>
    <cellStyle name="Normal 3 37 2" xfId="44379"/>
    <cellStyle name="Normal 3 38" xfId="22260"/>
    <cellStyle name="Normal 3 38 2" xfId="45035"/>
    <cellStyle name="Normal 3 39" xfId="199"/>
    <cellStyle name="Normal 3 4" xfId="80"/>
    <cellStyle name="Normal 3 4 10" xfId="2311"/>
    <cellStyle name="Normal 3 4 10 2" xfId="25086"/>
    <cellStyle name="Normal 3 4 11" xfId="6575"/>
    <cellStyle name="Normal 3 4 11 2" xfId="29350"/>
    <cellStyle name="Normal 3 4 12" xfId="7231"/>
    <cellStyle name="Normal 3 4 12 2" xfId="30006"/>
    <cellStyle name="Normal 3 4 13" xfId="7887"/>
    <cellStyle name="Normal 3 4 13 2" xfId="30662"/>
    <cellStyle name="Normal 3 4 14" xfId="8543"/>
    <cellStyle name="Normal 3 4 14 2" xfId="31318"/>
    <cellStyle name="Normal 3 4 15" xfId="9199"/>
    <cellStyle name="Normal 3 4 15 2" xfId="31974"/>
    <cellStyle name="Normal 3 4 16" xfId="9855"/>
    <cellStyle name="Normal 3 4 16 2" xfId="32630"/>
    <cellStyle name="Normal 3 4 17" xfId="10511"/>
    <cellStyle name="Normal 3 4 17 2" xfId="33286"/>
    <cellStyle name="Normal 3 4 18" xfId="11167"/>
    <cellStyle name="Normal 3 4 18 2" xfId="33942"/>
    <cellStyle name="Normal 3 4 19" xfId="11823"/>
    <cellStyle name="Normal 3 4 19 2" xfId="34598"/>
    <cellStyle name="Normal 3 4 2" xfId="113"/>
    <cellStyle name="Normal 3 4 2 10" xfId="6760"/>
    <cellStyle name="Normal 3 4 2 10 2" xfId="29535"/>
    <cellStyle name="Normal 3 4 2 11" xfId="7416"/>
    <cellStyle name="Normal 3 4 2 11 2" xfId="30191"/>
    <cellStyle name="Normal 3 4 2 12" xfId="8072"/>
    <cellStyle name="Normal 3 4 2 12 2" xfId="30847"/>
    <cellStyle name="Normal 3 4 2 13" xfId="8728"/>
    <cellStyle name="Normal 3 4 2 13 2" xfId="31503"/>
    <cellStyle name="Normal 3 4 2 14" xfId="9384"/>
    <cellStyle name="Normal 3 4 2 14 2" xfId="32159"/>
    <cellStyle name="Normal 3 4 2 15" xfId="10040"/>
    <cellStyle name="Normal 3 4 2 15 2" xfId="32815"/>
    <cellStyle name="Normal 3 4 2 16" xfId="10696"/>
    <cellStyle name="Normal 3 4 2 16 2" xfId="33471"/>
    <cellStyle name="Normal 3 4 2 17" xfId="11352"/>
    <cellStyle name="Normal 3 4 2 17 2" xfId="34127"/>
    <cellStyle name="Normal 3 4 2 18" xfId="12008"/>
    <cellStyle name="Normal 3 4 2 18 2" xfId="34783"/>
    <cellStyle name="Normal 3 4 2 19" xfId="12664"/>
    <cellStyle name="Normal 3 4 2 19 2" xfId="35439"/>
    <cellStyle name="Normal 3 4 2 2" xfId="856"/>
    <cellStyle name="Normal 3 4 2 2 10" xfId="8400"/>
    <cellStyle name="Normal 3 4 2 2 10 2" xfId="31175"/>
    <cellStyle name="Normal 3 4 2 2 11" xfId="9056"/>
    <cellStyle name="Normal 3 4 2 2 11 2" xfId="31831"/>
    <cellStyle name="Normal 3 4 2 2 12" xfId="9712"/>
    <cellStyle name="Normal 3 4 2 2 12 2" xfId="32487"/>
    <cellStyle name="Normal 3 4 2 2 13" xfId="10368"/>
    <cellStyle name="Normal 3 4 2 2 13 2" xfId="33143"/>
    <cellStyle name="Normal 3 4 2 2 14" xfId="11024"/>
    <cellStyle name="Normal 3 4 2 2 14 2" xfId="33799"/>
    <cellStyle name="Normal 3 4 2 2 15" xfId="11680"/>
    <cellStyle name="Normal 3 4 2 2 15 2" xfId="34455"/>
    <cellStyle name="Normal 3 4 2 2 16" xfId="12336"/>
    <cellStyle name="Normal 3 4 2 2 16 2" xfId="35111"/>
    <cellStyle name="Normal 3 4 2 2 17" xfId="12992"/>
    <cellStyle name="Normal 3 4 2 2 17 2" xfId="35767"/>
    <cellStyle name="Normal 3 4 2 2 18" xfId="13648"/>
    <cellStyle name="Normal 3 4 2 2 18 2" xfId="36423"/>
    <cellStyle name="Normal 3 4 2 2 19" xfId="14304"/>
    <cellStyle name="Normal 3 4 2 2 19 2" xfId="37079"/>
    <cellStyle name="Normal 3 4 2 2 2" xfId="1512"/>
    <cellStyle name="Normal 3 4 2 2 2 2" xfId="3808"/>
    <cellStyle name="Normal 3 4 2 2 2 2 2" xfId="26583"/>
    <cellStyle name="Normal 3 4 2 2 2 3" xfId="24287"/>
    <cellStyle name="Normal 3 4 2 2 20" xfId="14960"/>
    <cellStyle name="Normal 3 4 2 2 20 2" xfId="37735"/>
    <cellStyle name="Normal 3 4 2 2 21" xfId="15616"/>
    <cellStyle name="Normal 3 4 2 2 21 2" xfId="38391"/>
    <cellStyle name="Normal 3 4 2 2 22" xfId="16272"/>
    <cellStyle name="Normal 3 4 2 2 22 2" xfId="39047"/>
    <cellStyle name="Normal 3 4 2 2 23" xfId="16928"/>
    <cellStyle name="Normal 3 4 2 2 23 2" xfId="39703"/>
    <cellStyle name="Normal 3 4 2 2 24" xfId="17584"/>
    <cellStyle name="Normal 3 4 2 2 24 2" xfId="40359"/>
    <cellStyle name="Normal 3 4 2 2 25" xfId="18240"/>
    <cellStyle name="Normal 3 4 2 2 25 2" xfId="41015"/>
    <cellStyle name="Normal 3 4 2 2 26" xfId="18896"/>
    <cellStyle name="Normal 3 4 2 2 26 2" xfId="41671"/>
    <cellStyle name="Normal 3 4 2 2 27" xfId="19552"/>
    <cellStyle name="Normal 3 4 2 2 27 2" xfId="42327"/>
    <cellStyle name="Normal 3 4 2 2 28" xfId="20208"/>
    <cellStyle name="Normal 3 4 2 2 28 2" xfId="42983"/>
    <cellStyle name="Normal 3 4 2 2 29" xfId="20864"/>
    <cellStyle name="Normal 3 4 2 2 29 2" xfId="43639"/>
    <cellStyle name="Normal 3 4 2 2 3" xfId="2168"/>
    <cellStyle name="Normal 3 4 2 2 3 2" xfId="4464"/>
    <cellStyle name="Normal 3 4 2 2 3 2 2" xfId="27239"/>
    <cellStyle name="Normal 3 4 2 2 3 3" xfId="24943"/>
    <cellStyle name="Normal 3 4 2 2 30" xfId="21520"/>
    <cellStyle name="Normal 3 4 2 2 30 2" xfId="44295"/>
    <cellStyle name="Normal 3 4 2 2 31" xfId="22176"/>
    <cellStyle name="Normal 3 4 2 2 31 2" xfId="44951"/>
    <cellStyle name="Normal 3 4 2 2 32" xfId="22832"/>
    <cellStyle name="Normal 3 4 2 2 32 2" xfId="45607"/>
    <cellStyle name="Normal 3 4 2 2 33" xfId="23631"/>
    <cellStyle name="Normal 3 4 2 2 4" xfId="5120"/>
    <cellStyle name="Normal 3 4 2 2 4 2" xfId="27895"/>
    <cellStyle name="Normal 3 4 2 2 5" xfId="5776"/>
    <cellStyle name="Normal 3 4 2 2 5 2" xfId="28551"/>
    <cellStyle name="Normal 3 4 2 2 6" xfId="6432"/>
    <cellStyle name="Normal 3 4 2 2 6 2" xfId="29207"/>
    <cellStyle name="Normal 3 4 2 2 7" xfId="3152"/>
    <cellStyle name="Normal 3 4 2 2 7 2" xfId="25927"/>
    <cellStyle name="Normal 3 4 2 2 8" xfId="7088"/>
    <cellStyle name="Normal 3 4 2 2 8 2" xfId="29863"/>
    <cellStyle name="Normal 3 4 2 2 9" xfId="7744"/>
    <cellStyle name="Normal 3 4 2 2 9 2" xfId="30519"/>
    <cellStyle name="Normal 3 4 2 20" xfId="13320"/>
    <cellStyle name="Normal 3 4 2 20 2" xfId="36095"/>
    <cellStyle name="Normal 3 4 2 21" xfId="13976"/>
    <cellStyle name="Normal 3 4 2 21 2" xfId="36751"/>
    <cellStyle name="Normal 3 4 2 22" xfId="14632"/>
    <cellStyle name="Normal 3 4 2 22 2" xfId="37407"/>
    <cellStyle name="Normal 3 4 2 23" xfId="15288"/>
    <cellStyle name="Normal 3 4 2 23 2" xfId="38063"/>
    <cellStyle name="Normal 3 4 2 24" xfId="15944"/>
    <cellStyle name="Normal 3 4 2 24 2" xfId="38719"/>
    <cellStyle name="Normal 3 4 2 25" xfId="16600"/>
    <cellStyle name="Normal 3 4 2 25 2" xfId="39375"/>
    <cellStyle name="Normal 3 4 2 26" xfId="17256"/>
    <cellStyle name="Normal 3 4 2 26 2" xfId="40031"/>
    <cellStyle name="Normal 3 4 2 27" xfId="17912"/>
    <cellStyle name="Normal 3 4 2 27 2" xfId="40687"/>
    <cellStyle name="Normal 3 4 2 28" xfId="18568"/>
    <cellStyle name="Normal 3 4 2 28 2" xfId="41343"/>
    <cellStyle name="Normal 3 4 2 29" xfId="19224"/>
    <cellStyle name="Normal 3 4 2 29 2" xfId="41999"/>
    <cellStyle name="Normal 3 4 2 3" xfId="1184"/>
    <cellStyle name="Normal 3 4 2 3 2" xfId="2824"/>
    <cellStyle name="Normal 3 4 2 3 2 2" xfId="25599"/>
    <cellStyle name="Normal 3 4 2 3 3" xfId="23959"/>
    <cellStyle name="Normal 3 4 2 30" xfId="19880"/>
    <cellStyle name="Normal 3 4 2 30 2" xfId="42655"/>
    <cellStyle name="Normal 3 4 2 31" xfId="20536"/>
    <cellStyle name="Normal 3 4 2 31 2" xfId="43311"/>
    <cellStyle name="Normal 3 4 2 32" xfId="21192"/>
    <cellStyle name="Normal 3 4 2 32 2" xfId="43967"/>
    <cellStyle name="Normal 3 4 2 33" xfId="21848"/>
    <cellStyle name="Normal 3 4 2 33 2" xfId="44623"/>
    <cellStyle name="Normal 3 4 2 34" xfId="22504"/>
    <cellStyle name="Normal 3 4 2 34 2" xfId="45279"/>
    <cellStyle name="Normal 3 4 2 35" xfId="23303"/>
    <cellStyle name="Normal 3 4 2 4" xfId="1840"/>
    <cellStyle name="Normal 3 4 2 4 2" xfId="3480"/>
    <cellStyle name="Normal 3 4 2 4 2 2" xfId="26255"/>
    <cellStyle name="Normal 3 4 2 4 3" xfId="24615"/>
    <cellStyle name="Normal 3 4 2 5" xfId="4136"/>
    <cellStyle name="Normal 3 4 2 5 2" xfId="26911"/>
    <cellStyle name="Normal 3 4 2 6" xfId="4792"/>
    <cellStyle name="Normal 3 4 2 6 2" xfId="27567"/>
    <cellStyle name="Normal 3 4 2 7" xfId="5448"/>
    <cellStyle name="Normal 3 4 2 7 2" xfId="28223"/>
    <cellStyle name="Normal 3 4 2 8" xfId="6104"/>
    <cellStyle name="Normal 3 4 2 8 2" xfId="28879"/>
    <cellStyle name="Normal 3 4 2 9" xfId="2496"/>
    <cellStyle name="Normal 3 4 2 9 2" xfId="25271"/>
    <cellStyle name="Normal 3 4 20" xfId="12479"/>
    <cellStyle name="Normal 3 4 20 2" xfId="35254"/>
    <cellStyle name="Normal 3 4 21" xfId="13135"/>
    <cellStyle name="Normal 3 4 21 2" xfId="35910"/>
    <cellStyle name="Normal 3 4 22" xfId="13791"/>
    <cellStyle name="Normal 3 4 22 2" xfId="36566"/>
    <cellStyle name="Normal 3 4 23" xfId="14447"/>
    <cellStyle name="Normal 3 4 23 2" xfId="37222"/>
    <cellStyle name="Normal 3 4 24" xfId="15103"/>
    <cellStyle name="Normal 3 4 24 2" xfId="37878"/>
    <cellStyle name="Normal 3 4 25" xfId="15759"/>
    <cellStyle name="Normal 3 4 25 2" xfId="38534"/>
    <cellStyle name="Normal 3 4 26" xfId="16415"/>
    <cellStyle name="Normal 3 4 26 2" xfId="39190"/>
    <cellStyle name="Normal 3 4 27" xfId="17071"/>
    <cellStyle name="Normal 3 4 27 2" xfId="39846"/>
    <cellStyle name="Normal 3 4 28" xfId="17727"/>
    <cellStyle name="Normal 3 4 28 2" xfId="40502"/>
    <cellStyle name="Normal 3 4 29" xfId="18383"/>
    <cellStyle name="Normal 3 4 29 2" xfId="41158"/>
    <cellStyle name="Normal 3 4 3" xfId="671"/>
    <cellStyle name="Normal 3 4 3 10" xfId="8215"/>
    <cellStyle name="Normal 3 4 3 10 2" xfId="30990"/>
    <cellStyle name="Normal 3 4 3 11" xfId="8871"/>
    <cellStyle name="Normal 3 4 3 11 2" xfId="31646"/>
    <cellStyle name="Normal 3 4 3 12" xfId="9527"/>
    <cellStyle name="Normal 3 4 3 12 2" xfId="32302"/>
    <cellStyle name="Normal 3 4 3 13" xfId="10183"/>
    <cellStyle name="Normal 3 4 3 13 2" xfId="32958"/>
    <cellStyle name="Normal 3 4 3 14" xfId="10839"/>
    <cellStyle name="Normal 3 4 3 14 2" xfId="33614"/>
    <cellStyle name="Normal 3 4 3 15" xfId="11495"/>
    <cellStyle name="Normal 3 4 3 15 2" xfId="34270"/>
    <cellStyle name="Normal 3 4 3 16" xfId="12151"/>
    <cellStyle name="Normal 3 4 3 16 2" xfId="34926"/>
    <cellStyle name="Normal 3 4 3 17" xfId="12807"/>
    <cellStyle name="Normal 3 4 3 17 2" xfId="35582"/>
    <cellStyle name="Normal 3 4 3 18" xfId="13463"/>
    <cellStyle name="Normal 3 4 3 18 2" xfId="36238"/>
    <cellStyle name="Normal 3 4 3 19" xfId="14119"/>
    <cellStyle name="Normal 3 4 3 19 2" xfId="36894"/>
    <cellStyle name="Normal 3 4 3 2" xfId="1327"/>
    <cellStyle name="Normal 3 4 3 2 2" xfId="3623"/>
    <cellStyle name="Normal 3 4 3 2 2 2" xfId="26398"/>
    <cellStyle name="Normal 3 4 3 2 3" xfId="24102"/>
    <cellStyle name="Normal 3 4 3 20" xfId="14775"/>
    <cellStyle name="Normal 3 4 3 20 2" xfId="37550"/>
    <cellStyle name="Normal 3 4 3 21" xfId="15431"/>
    <cellStyle name="Normal 3 4 3 21 2" xfId="38206"/>
    <cellStyle name="Normal 3 4 3 22" xfId="16087"/>
    <cellStyle name="Normal 3 4 3 22 2" xfId="38862"/>
    <cellStyle name="Normal 3 4 3 23" xfId="16743"/>
    <cellStyle name="Normal 3 4 3 23 2" xfId="39518"/>
    <cellStyle name="Normal 3 4 3 24" xfId="17399"/>
    <cellStyle name="Normal 3 4 3 24 2" xfId="40174"/>
    <cellStyle name="Normal 3 4 3 25" xfId="18055"/>
    <cellStyle name="Normal 3 4 3 25 2" xfId="40830"/>
    <cellStyle name="Normal 3 4 3 26" xfId="18711"/>
    <cellStyle name="Normal 3 4 3 26 2" xfId="41486"/>
    <cellStyle name="Normal 3 4 3 27" xfId="19367"/>
    <cellStyle name="Normal 3 4 3 27 2" xfId="42142"/>
    <cellStyle name="Normal 3 4 3 28" xfId="20023"/>
    <cellStyle name="Normal 3 4 3 28 2" xfId="42798"/>
    <cellStyle name="Normal 3 4 3 29" xfId="20679"/>
    <cellStyle name="Normal 3 4 3 29 2" xfId="43454"/>
    <cellStyle name="Normal 3 4 3 3" xfId="1983"/>
    <cellStyle name="Normal 3 4 3 3 2" xfId="4279"/>
    <cellStyle name="Normal 3 4 3 3 2 2" xfId="27054"/>
    <cellStyle name="Normal 3 4 3 3 3" xfId="24758"/>
    <cellStyle name="Normal 3 4 3 30" xfId="21335"/>
    <cellStyle name="Normal 3 4 3 30 2" xfId="44110"/>
    <cellStyle name="Normal 3 4 3 31" xfId="21991"/>
    <cellStyle name="Normal 3 4 3 31 2" xfId="44766"/>
    <cellStyle name="Normal 3 4 3 32" xfId="22647"/>
    <cellStyle name="Normal 3 4 3 32 2" xfId="45422"/>
    <cellStyle name="Normal 3 4 3 33" xfId="23446"/>
    <cellStyle name="Normal 3 4 3 4" xfId="4935"/>
    <cellStyle name="Normal 3 4 3 4 2" xfId="27710"/>
    <cellStyle name="Normal 3 4 3 5" xfId="5591"/>
    <cellStyle name="Normal 3 4 3 5 2" xfId="28366"/>
    <cellStyle name="Normal 3 4 3 6" xfId="6247"/>
    <cellStyle name="Normal 3 4 3 6 2" xfId="29022"/>
    <cellStyle name="Normal 3 4 3 7" xfId="2967"/>
    <cellStyle name="Normal 3 4 3 7 2" xfId="25742"/>
    <cellStyle name="Normal 3 4 3 8" xfId="6903"/>
    <cellStyle name="Normal 3 4 3 8 2" xfId="29678"/>
    <cellStyle name="Normal 3 4 3 9" xfId="7559"/>
    <cellStyle name="Normal 3 4 3 9 2" xfId="30334"/>
    <cellStyle name="Normal 3 4 30" xfId="19039"/>
    <cellStyle name="Normal 3 4 30 2" xfId="41814"/>
    <cellStyle name="Normal 3 4 31" xfId="19695"/>
    <cellStyle name="Normal 3 4 31 2" xfId="42470"/>
    <cellStyle name="Normal 3 4 32" xfId="20351"/>
    <cellStyle name="Normal 3 4 32 2" xfId="43126"/>
    <cellStyle name="Normal 3 4 33" xfId="21007"/>
    <cellStyle name="Normal 3 4 33 2" xfId="43782"/>
    <cellStyle name="Normal 3 4 34" xfId="21663"/>
    <cellStyle name="Normal 3 4 34 2" xfId="44438"/>
    <cellStyle name="Normal 3 4 35" xfId="22319"/>
    <cellStyle name="Normal 3 4 35 2" xfId="45094"/>
    <cellStyle name="Normal 3 4 36" xfId="258"/>
    <cellStyle name="Normal 3 4 37" xfId="22975"/>
    <cellStyle name="Normal 3 4 4" xfId="344"/>
    <cellStyle name="Normal 3 4 4 2" xfId="2639"/>
    <cellStyle name="Normal 3 4 4 2 2" xfId="25414"/>
    <cellStyle name="Normal 3 4 4 3" xfId="23118"/>
    <cellStyle name="Normal 3 4 5" xfId="999"/>
    <cellStyle name="Normal 3 4 5 2" xfId="3295"/>
    <cellStyle name="Normal 3 4 5 2 2" xfId="26070"/>
    <cellStyle name="Normal 3 4 5 3" xfId="23774"/>
    <cellStyle name="Normal 3 4 6" xfId="1655"/>
    <cellStyle name="Normal 3 4 6 2" xfId="3951"/>
    <cellStyle name="Normal 3 4 6 2 2" xfId="26726"/>
    <cellStyle name="Normal 3 4 6 3" xfId="24430"/>
    <cellStyle name="Normal 3 4 7" xfId="4607"/>
    <cellStyle name="Normal 3 4 7 2" xfId="27382"/>
    <cellStyle name="Normal 3 4 8" xfId="5263"/>
    <cellStyle name="Normal 3 4 8 2" xfId="28038"/>
    <cellStyle name="Normal 3 4 9" xfId="5919"/>
    <cellStyle name="Normal 3 4 9 2" xfId="28694"/>
    <cellStyle name="Normal 3 40" xfId="22916"/>
    <cellStyle name="Normal 3 41" xfId="47"/>
    <cellStyle name="Normal 3 5" xfId="81"/>
    <cellStyle name="Normal 3 5 10" xfId="6701"/>
    <cellStyle name="Normal 3 5 10 2" xfId="29476"/>
    <cellStyle name="Normal 3 5 11" xfId="7357"/>
    <cellStyle name="Normal 3 5 11 2" xfId="30132"/>
    <cellStyle name="Normal 3 5 12" xfId="8013"/>
    <cellStyle name="Normal 3 5 12 2" xfId="30788"/>
    <cellStyle name="Normal 3 5 13" xfId="8669"/>
    <cellStyle name="Normal 3 5 13 2" xfId="31444"/>
    <cellStyle name="Normal 3 5 14" xfId="9325"/>
    <cellStyle name="Normal 3 5 14 2" xfId="32100"/>
    <cellStyle name="Normal 3 5 15" xfId="9981"/>
    <cellStyle name="Normal 3 5 15 2" xfId="32756"/>
    <cellStyle name="Normal 3 5 16" xfId="10637"/>
    <cellStyle name="Normal 3 5 16 2" xfId="33412"/>
    <cellStyle name="Normal 3 5 17" xfId="11293"/>
    <cellStyle name="Normal 3 5 17 2" xfId="34068"/>
    <cellStyle name="Normal 3 5 18" xfId="11949"/>
    <cellStyle name="Normal 3 5 18 2" xfId="34724"/>
    <cellStyle name="Normal 3 5 19" xfId="12605"/>
    <cellStyle name="Normal 3 5 19 2" xfId="35380"/>
    <cellStyle name="Normal 3 5 2" xfId="797"/>
    <cellStyle name="Normal 3 5 2 10" xfId="8341"/>
    <cellStyle name="Normal 3 5 2 10 2" xfId="31116"/>
    <cellStyle name="Normal 3 5 2 11" xfId="8997"/>
    <cellStyle name="Normal 3 5 2 11 2" xfId="31772"/>
    <cellStyle name="Normal 3 5 2 12" xfId="9653"/>
    <cellStyle name="Normal 3 5 2 12 2" xfId="32428"/>
    <cellStyle name="Normal 3 5 2 13" xfId="10309"/>
    <cellStyle name="Normal 3 5 2 13 2" xfId="33084"/>
    <cellStyle name="Normal 3 5 2 14" xfId="10965"/>
    <cellStyle name="Normal 3 5 2 14 2" xfId="33740"/>
    <cellStyle name="Normal 3 5 2 15" xfId="11621"/>
    <cellStyle name="Normal 3 5 2 15 2" xfId="34396"/>
    <cellStyle name="Normal 3 5 2 16" xfId="12277"/>
    <cellStyle name="Normal 3 5 2 16 2" xfId="35052"/>
    <cellStyle name="Normal 3 5 2 17" xfId="12933"/>
    <cellStyle name="Normal 3 5 2 17 2" xfId="35708"/>
    <cellStyle name="Normal 3 5 2 18" xfId="13589"/>
    <cellStyle name="Normal 3 5 2 18 2" xfId="36364"/>
    <cellStyle name="Normal 3 5 2 19" xfId="14245"/>
    <cellStyle name="Normal 3 5 2 19 2" xfId="37020"/>
    <cellStyle name="Normal 3 5 2 2" xfId="1453"/>
    <cellStyle name="Normal 3 5 2 2 2" xfId="3749"/>
    <cellStyle name="Normal 3 5 2 2 2 2" xfId="26524"/>
    <cellStyle name="Normal 3 5 2 2 3" xfId="24228"/>
    <cellStyle name="Normal 3 5 2 20" xfId="14901"/>
    <cellStyle name="Normal 3 5 2 20 2" xfId="37676"/>
    <cellStyle name="Normal 3 5 2 21" xfId="15557"/>
    <cellStyle name="Normal 3 5 2 21 2" xfId="38332"/>
    <cellStyle name="Normal 3 5 2 22" xfId="16213"/>
    <cellStyle name="Normal 3 5 2 22 2" xfId="38988"/>
    <cellStyle name="Normal 3 5 2 23" xfId="16869"/>
    <cellStyle name="Normal 3 5 2 23 2" xfId="39644"/>
    <cellStyle name="Normal 3 5 2 24" xfId="17525"/>
    <cellStyle name="Normal 3 5 2 24 2" xfId="40300"/>
    <cellStyle name="Normal 3 5 2 25" xfId="18181"/>
    <cellStyle name="Normal 3 5 2 25 2" xfId="40956"/>
    <cellStyle name="Normal 3 5 2 26" xfId="18837"/>
    <cellStyle name="Normal 3 5 2 26 2" xfId="41612"/>
    <cellStyle name="Normal 3 5 2 27" xfId="19493"/>
    <cellStyle name="Normal 3 5 2 27 2" xfId="42268"/>
    <cellStyle name="Normal 3 5 2 28" xfId="20149"/>
    <cellStyle name="Normal 3 5 2 28 2" xfId="42924"/>
    <cellStyle name="Normal 3 5 2 29" xfId="20805"/>
    <cellStyle name="Normal 3 5 2 29 2" xfId="43580"/>
    <cellStyle name="Normal 3 5 2 3" xfId="2109"/>
    <cellStyle name="Normal 3 5 2 3 2" xfId="4405"/>
    <cellStyle name="Normal 3 5 2 3 2 2" xfId="27180"/>
    <cellStyle name="Normal 3 5 2 3 3" xfId="24884"/>
    <cellStyle name="Normal 3 5 2 30" xfId="21461"/>
    <cellStyle name="Normal 3 5 2 30 2" xfId="44236"/>
    <cellStyle name="Normal 3 5 2 31" xfId="22117"/>
    <cellStyle name="Normal 3 5 2 31 2" xfId="44892"/>
    <cellStyle name="Normal 3 5 2 32" xfId="22773"/>
    <cellStyle name="Normal 3 5 2 32 2" xfId="45548"/>
    <cellStyle name="Normal 3 5 2 33" xfId="23572"/>
    <cellStyle name="Normal 3 5 2 4" xfId="5061"/>
    <cellStyle name="Normal 3 5 2 4 2" xfId="27836"/>
    <cellStyle name="Normal 3 5 2 5" xfId="5717"/>
    <cellStyle name="Normal 3 5 2 5 2" xfId="28492"/>
    <cellStyle name="Normal 3 5 2 6" xfId="6373"/>
    <cellStyle name="Normal 3 5 2 6 2" xfId="29148"/>
    <cellStyle name="Normal 3 5 2 7" xfId="3093"/>
    <cellStyle name="Normal 3 5 2 7 2" xfId="25868"/>
    <cellStyle name="Normal 3 5 2 8" xfId="7029"/>
    <cellStyle name="Normal 3 5 2 8 2" xfId="29804"/>
    <cellStyle name="Normal 3 5 2 9" xfId="7685"/>
    <cellStyle name="Normal 3 5 2 9 2" xfId="30460"/>
    <cellStyle name="Normal 3 5 20" xfId="13261"/>
    <cellStyle name="Normal 3 5 20 2" xfId="36036"/>
    <cellStyle name="Normal 3 5 21" xfId="13917"/>
    <cellStyle name="Normal 3 5 21 2" xfId="36692"/>
    <cellStyle name="Normal 3 5 22" xfId="14573"/>
    <cellStyle name="Normal 3 5 22 2" xfId="37348"/>
    <cellStyle name="Normal 3 5 23" xfId="15229"/>
    <cellStyle name="Normal 3 5 23 2" xfId="38004"/>
    <cellStyle name="Normal 3 5 24" xfId="15885"/>
    <cellStyle name="Normal 3 5 24 2" xfId="38660"/>
    <cellStyle name="Normal 3 5 25" xfId="16541"/>
    <cellStyle name="Normal 3 5 25 2" xfId="39316"/>
    <cellStyle name="Normal 3 5 26" xfId="17197"/>
    <cellStyle name="Normal 3 5 26 2" xfId="39972"/>
    <cellStyle name="Normal 3 5 27" xfId="17853"/>
    <cellStyle name="Normal 3 5 27 2" xfId="40628"/>
    <cellStyle name="Normal 3 5 28" xfId="18509"/>
    <cellStyle name="Normal 3 5 28 2" xfId="41284"/>
    <cellStyle name="Normal 3 5 29" xfId="19165"/>
    <cellStyle name="Normal 3 5 29 2" xfId="41940"/>
    <cellStyle name="Normal 3 5 3" xfId="1125"/>
    <cellStyle name="Normal 3 5 3 2" xfId="2765"/>
    <cellStyle name="Normal 3 5 3 2 2" xfId="25540"/>
    <cellStyle name="Normal 3 5 3 3" xfId="23900"/>
    <cellStyle name="Normal 3 5 30" xfId="19821"/>
    <cellStyle name="Normal 3 5 30 2" xfId="42596"/>
    <cellStyle name="Normal 3 5 31" xfId="20477"/>
    <cellStyle name="Normal 3 5 31 2" xfId="43252"/>
    <cellStyle name="Normal 3 5 32" xfId="21133"/>
    <cellStyle name="Normal 3 5 32 2" xfId="43908"/>
    <cellStyle name="Normal 3 5 33" xfId="21789"/>
    <cellStyle name="Normal 3 5 33 2" xfId="44564"/>
    <cellStyle name="Normal 3 5 34" xfId="22445"/>
    <cellStyle name="Normal 3 5 34 2" xfId="45220"/>
    <cellStyle name="Normal 3 5 35" xfId="23244"/>
    <cellStyle name="Normal 3 5 36" xfId="470"/>
    <cellStyle name="Normal 3 5 4" xfId="1781"/>
    <cellStyle name="Normal 3 5 4 2" xfId="3421"/>
    <cellStyle name="Normal 3 5 4 2 2" xfId="26196"/>
    <cellStyle name="Normal 3 5 4 3" xfId="24556"/>
    <cellStyle name="Normal 3 5 5" xfId="4077"/>
    <cellStyle name="Normal 3 5 5 2" xfId="26852"/>
    <cellStyle name="Normal 3 5 6" xfId="4733"/>
    <cellStyle name="Normal 3 5 6 2" xfId="27508"/>
    <cellStyle name="Normal 3 5 7" xfId="5389"/>
    <cellStyle name="Normal 3 5 7 2" xfId="28164"/>
    <cellStyle name="Normal 3 5 8" xfId="6045"/>
    <cellStyle name="Normal 3 5 8 2" xfId="28820"/>
    <cellStyle name="Normal 3 5 9" xfId="2437"/>
    <cellStyle name="Normal 3 5 9 2" xfId="25212"/>
    <cellStyle name="Normal 3 6" xfId="612"/>
    <cellStyle name="Normal 3 6 10" xfId="8156"/>
    <cellStyle name="Normal 3 6 10 2" xfId="30931"/>
    <cellStyle name="Normal 3 6 11" xfId="8812"/>
    <cellStyle name="Normal 3 6 11 2" xfId="31587"/>
    <cellStyle name="Normal 3 6 12" xfId="9468"/>
    <cellStyle name="Normal 3 6 12 2" xfId="32243"/>
    <cellStyle name="Normal 3 6 13" xfId="10124"/>
    <cellStyle name="Normal 3 6 13 2" xfId="32899"/>
    <cellStyle name="Normal 3 6 14" xfId="10780"/>
    <cellStyle name="Normal 3 6 14 2" xfId="33555"/>
    <cellStyle name="Normal 3 6 15" xfId="11436"/>
    <cellStyle name="Normal 3 6 15 2" xfId="34211"/>
    <cellStyle name="Normal 3 6 16" xfId="12092"/>
    <cellStyle name="Normal 3 6 16 2" xfId="34867"/>
    <cellStyle name="Normal 3 6 17" xfId="12748"/>
    <cellStyle name="Normal 3 6 17 2" xfId="35523"/>
    <cellStyle name="Normal 3 6 18" xfId="13404"/>
    <cellStyle name="Normal 3 6 18 2" xfId="36179"/>
    <cellStyle name="Normal 3 6 19" xfId="14060"/>
    <cellStyle name="Normal 3 6 19 2" xfId="36835"/>
    <cellStyle name="Normal 3 6 2" xfId="1268"/>
    <cellStyle name="Normal 3 6 2 2" xfId="3564"/>
    <cellStyle name="Normal 3 6 2 2 2" xfId="26339"/>
    <cellStyle name="Normal 3 6 2 3" xfId="24043"/>
    <cellStyle name="Normal 3 6 20" xfId="14716"/>
    <cellStyle name="Normal 3 6 20 2" xfId="37491"/>
    <cellStyle name="Normal 3 6 21" xfId="15372"/>
    <cellStyle name="Normal 3 6 21 2" xfId="38147"/>
    <cellStyle name="Normal 3 6 22" xfId="16028"/>
    <cellStyle name="Normal 3 6 22 2" xfId="38803"/>
    <cellStyle name="Normal 3 6 23" xfId="16684"/>
    <cellStyle name="Normal 3 6 23 2" xfId="39459"/>
    <cellStyle name="Normal 3 6 24" xfId="17340"/>
    <cellStyle name="Normal 3 6 24 2" xfId="40115"/>
    <cellStyle name="Normal 3 6 25" xfId="17996"/>
    <cellStyle name="Normal 3 6 25 2" xfId="40771"/>
    <cellStyle name="Normal 3 6 26" xfId="18652"/>
    <cellStyle name="Normal 3 6 26 2" xfId="41427"/>
    <cellStyle name="Normal 3 6 27" xfId="19308"/>
    <cellStyle name="Normal 3 6 27 2" xfId="42083"/>
    <cellStyle name="Normal 3 6 28" xfId="19964"/>
    <cellStyle name="Normal 3 6 28 2" xfId="42739"/>
    <cellStyle name="Normal 3 6 29" xfId="20620"/>
    <cellStyle name="Normal 3 6 29 2" xfId="43395"/>
    <cellStyle name="Normal 3 6 3" xfId="1924"/>
    <cellStyle name="Normal 3 6 3 2" xfId="4220"/>
    <cellStyle name="Normal 3 6 3 2 2" xfId="26995"/>
    <cellStyle name="Normal 3 6 3 3" xfId="24699"/>
    <cellStyle name="Normal 3 6 30" xfId="21276"/>
    <cellStyle name="Normal 3 6 30 2" xfId="44051"/>
    <cellStyle name="Normal 3 6 31" xfId="21932"/>
    <cellStyle name="Normal 3 6 31 2" xfId="44707"/>
    <cellStyle name="Normal 3 6 32" xfId="22588"/>
    <cellStyle name="Normal 3 6 32 2" xfId="45363"/>
    <cellStyle name="Normal 3 6 33" xfId="23387"/>
    <cellStyle name="Normal 3 6 4" xfId="4876"/>
    <cellStyle name="Normal 3 6 4 2" xfId="27651"/>
    <cellStyle name="Normal 3 6 5" xfId="5532"/>
    <cellStyle name="Normal 3 6 5 2" xfId="28307"/>
    <cellStyle name="Normal 3 6 6" xfId="6188"/>
    <cellStyle name="Normal 3 6 6 2" xfId="28963"/>
    <cellStyle name="Normal 3 6 7" xfId="2908"/>
    <cellStyle name="Normal 3 6 7 2" xfId="25683"/>
    <cellStyle name="Normal 3 6 8" xfId="6844"/>
    <cellStyle name="Normal 3 6 8 2" xfId="29619"/>
    <cellStyle name="Normal 3 6 9" xfId="7500"/>
    <cellStyle name="Normal 3 6 9 2" xfId="30275"/>
    <cellStyle name="Normal 3 7" xfId="285"/>
    <cellStyle name="Normal 3 7 2" xfId="2580"/>
    <cellStyle name="Normal 3 7 2 2" xfId="25355"/>
    <cellStyle name="Normal 3 7 3" xfId="23059"/>
    <cellStyle name="Normal 3 8" xfId="940"/>
    <cellStyle name="Normal 3 8 2" xfId="3236"/>
    <cellStyle name="Normal 3 8 2 2" xfId="26011"/>
    <cellStyle name="Normal 3 8 3" xfId="23715"/>
    <cellStyle name="Normal 3 9" xfId="1596"/>
    <cellStyle name="Normal 3 9 2" xfId="3892"/>
    <cellStyle name="Normal 3 9 2 2" xfId="26667"/>
    <cellStyle name="Normal 3 9 3" xfId="24371"/>
    <cellStyle name="Normal 4" xfId="66"/>
    <cellStyle name="Normal 4 10" xfId="5862"/>
    <cellStyle name="Normal 4 10 2" xfId="28637"/>
    <cellStyle name="Normal 4 11" xfId="2254"/>
    <cellStyle name="Normal 4 11 2" xfId="25029"/>
    <cellStyle name="Normal 4 12" xfId="6518"/>
    <cellStyle name="Normal 4 12 2" xfId="29293"/>
    <cellStyle name="Normal 4 13" xfId="7174"/>
    <cellStyle name="Normal 4 13 2" xfId="29949"/>
    <cellStyle name="Normal 4 14" xfId="7830"/>
    <cellStyle name="Normal 4 14 2" xfId="30605"/>
    <cellStyle name="Normal 4 15" xfId="8486"/>
    <cellStyle name="Normal 4 15 2" xfId="31261"/>
    <cellStyle name="Normal 4 16" xfId="9142"/>
    <cellStyle name="Normal 4 16 2" xfId="31917"/>
    <cellStyle name="Normal 4 17" xfId="9798"/>
    <cellStyle name="Normal 4 17 2" xfId="32573"/>
    <cellStyle name="Normal 4 18" xfId="10454"/>
    <cellStyle name="Normal 4 18 2" xfId="33229"/>
    <cellStyle name="Normal 4 19" xfId="11110"/>
    <cellStyle name="Normal 4 19 2" xfId="33885"/>
    <cellStyle name="Normal 4 2" xfId="142"/>
    <cellStyle name="Normal 4 2 10" xfId="2340"/>
    <cellStyle name="Normal 4 2 10 2" xfId="25115"/>
    <cellStyle name="Normal 4 2 11" xfId="6604"/>
    <cellStyle name="Normal 4 2 11 2" xfId="29379"/>
    <cellStyle name="Normal 4 2 12" xfId="7260"/>
    <cellStyle name="Normal 4 2 12 2" xfId="30035"/>
    <cellStyle name="Normal 4 2 13" xfId="7916"/>
    <cellStyle name="Normal 4 2 13 2" xfId="30691"/>
    <cellStyle name="Normal 4 2 14" xfId="8572"/>
    <cellStyle name="Normal 4 2 14 2" xfId="31347"/>
    <cellStyle name="Normal 4 2 15" xfId="9228"/>
    <cellStyle name="Normal 4 2 15 2" xfId="32003"/>
    <cellStyle name="Normal 4 2 16" xfId="9884"/>
    <cellStyle name="Normal 4 2 16 2" xfId="32659"/>
    <cellStyle name="Normal 4 2 17" xfId="10540"/>
    <cellStyle name="Normal 4 2 17 2" xfId="33315"/>
    <cellStyle name="Normal 4 2 18" xfId="11196"/>
    <cellStyle name="Normal 4 2 18 2" xfId="33971"/>
    <cellStyle name="Normal 4 2 19" xfId="11852"/>
    <cellStyle name="Normal 4 2 19 2" xfId="34627"/>
    <cellStyle name="Normal 4 2 2" xfId="556"/>
    <cellStyle name="Normal 4 2 2 10" xfId="6789"/>
    <cellStyle name="Normal 4 2 2 10 2" xfId="29564"/>
    <cellStyle name="Normal 4 2 2 11" xfId="7445"/>
    <cellStyle name="Normal 4 2 2 11 2" xfId="30220"/>
    <cellStyle name="Normal 4 2 2 12" xfId="8101"/>
    <cellStyle name="Normal 4 2 2 12 2" xfId="30876"/>
    <cellStyle name="Normal 4 2 2 13" xfId="8757"/>
    <cellStyle name="Normal 4 2 2 13 2" xfId="31532"/>
    <cellStyle name="Normal 4 2 2 14" xfId="9413"/>
    <cellStyle name="Normal 4 2 2 14 2" xfId="32188"/>
    <cellStyle name="Normal 4 2 2 15" xfId="10069"/>
    <cellStyle name="Normal 4 2 2 15 2" xfId="32844"/>
    <cellStyle name="Normal 4 2 2 16" xfId="10725"/>
    <cellStyle name="Normal 4 2 2 16 2" xfId="33500"/>
    <cellStyle name="Normal 4 2 2 17" xfId="11381"/>
    <cellStyle name="Normal 4 2 2 17 2" xfId="34156"/>
    <cellStyle name="Normal 4 2 2 18" xfId="12037"/>
    <cellStyle name="Normal 4 2 2 18 2" xfId="34812"/>
    <cellStyle name="Normal 4 2 2 19" xfId="12693"/>
    <cellStyle name="Normal 4 2 2 19 2" xfId="35468"/>
    <cellStyle name="Normal 4 2 2 2" xfId="885"/>
    <cellStyle name="Normal 4 2 2 2 10" xfId="8429"/>
    <cellStyle name="Normal 4 2 2 2 10 2" xfId="31204"/>
    <cellStyle name="Normal 4 2 2 2 11" xfId="9085"/>
    <cellStyle name="Normal 4 2 2 2 11 2" xfId="31860"/>
    <cellStyle name="Normal 4 2 2 2 12" xfId="9741"/>
    <cellStyle name="Normal 4 2 2 2 12 2" xfId="32516"/>
    <cellStyle name="Normal 4 2 2 2 13" xfId="10397"/>
    <cellStyle name="Normal 4 2 2 2 13 2" xfId="33172"/>
    <cellStyle name="Normal 4 2 2 2 14" xfId="11053"/>
    <cellStyle name="Normal 4 2 2 2 14 2" xfId="33828"/>
    <cellStyle name="Normal 4 2 2 2 15" xfId="11709"/>
    <cellStyle name="Normal 4 2 2 2 15 2" xfId="34484"/>
    <cellStyle name="Normal 4 2 2 2 16" xfId="12365"/>
    <cellStyle name="Normal 4 2 2 2 16 2" xfId="35140"/>
    <cellStyle name="Normal 4 2 2 2 17" xfId="13021"/>
    <cellStyle name="Normal 4 2 2 2 17 2" xfId="35796"/>
    <cellStyle name="Normal 4 2 2 2 18" xfId="13677"/>
    <cellStyle name="Normal 4 2 2 2 18 2" xfId="36452"/>
    <cellStyle name="Normal 4 2 2 2 19" xfId="14333"/>
    <cellStyle name="Normal 4 2 2 2 19 2" xfId="37108"/>
    <cellStyle name="Normal 4 2 2 2 2" xfId="1541"/>
    <cellStyle name="Normal 4 2 2 2 2 2" xfId="3837"/>
    <cellStyle name="Normal 4 2 2 2 2 2 2" xfId="26612"/>
    <cellStyle name="Normal 4 2 2 2 2 3" xfId="24316"/>
    <cellStyle name="Normal 4 2 2 2 20" xfId="14989"/>
    <cellStyle name="Normal 4 2 2 2 20 2" xfId="37764"/>
    <cellStyle name="Normal 4 2 2 2 21" xfId="15645"/>
    <cellStyle name="Normal 4 2 2 2 21 2" xfId="38420"/>
    <cellStyle name="Normal 4 2 2 2 22" xfId="16301"/>
    <cellStyle name="Normal 4 2 2 2 22 2" xfId="39076"/>
    <cellStyle name="Normal 4 2 2 2 23" xfId="16957"/>
    <cellStyle name="Normal 4 2 2 2 23 2" xfId="39732"/>
    <cellStyle name="Normal 4 2 2 2 24" xfId="17613"/>
    <cellStyle name="Normal 4 2 2 2 24 2" xfId="40388"/>
    <cellStyle name="Normal 4 2 2 2 25" xfId="18269"/>
    <cellStyle name="Normal 4 2 2 2 25 2" xfId="41044"/>
    <cellStyle name="Normal 4 2 2 2 26" xfId="18925"/>
    <cellStyle name="Normal 4 2 2 2 26 2" xfId="41700"/>
    <cellStyle name="Normal 4 2 2 2 27" xfId="19581"/>
    <cellStyle name="Normal 4 2 2 2 27 2" xfId="42356"/>
    <cellStyle name="Normal 4 2 2 2 28" xfId="20237"/>
    <cellStyle name="Normal 4 2 2 2 28 2" xfId="43012"/>
    <cellStyle name="Normal 4 2 2 2 29" xfId="20893"/>
    <cellStyle name="Normal 4 2 2 2 29 2" xfId="43668"/>
    <cellStyle name="Normal 4 2 2 2 3" xfId="2197"/>
    <cellStyle name="Normal 4 2 2 2 3 2" xfId="4493"/>
    <cellStyle name="Normal 4 2 2 2 3 2 2" xfId="27268"/>
    <cellStyle name="Normal 4 2 2 2 3 3" xfId="24972"/>
    <cellStyle name="Normal 4 2 2 2 30" xfId="21549"/>
    <cellStyle name="Normal 4 2 2 2 30 2" xfId="44324"/>
    <cellStyle name="Normal 4 2 2 2 31" xfId="22205"/>
    <cellStyle name="Normal 4 2 2 2 31 2" xfId="44980"/>
    <cellStyle name="Normal 4 2 2 2 32" xfId="22861"/>
    <cellStyle name="Normal 4 2 2 2 32 2" xfId="45636"/>
    <cellStyle name="Normal 4 2 2 2 33" xfId="23660"/>
    <cellStyle name="Normal 4 2 2 2 4" xfId="5149"/>
    <cellStyle name="Normal 4 2 2 2 4 2" xfId="27924"/>
    <cellStyle name="Normal 4 2 2 2 5" xfId="5805"/>
    <cellStyle name="Normal 4 2 2 2 5 2" xfId="28580"/>
    <cellStyle name="Normal 4 2 2 2 6" xfId="6461"/>
    <cellStyle name="Normal 4 2 2 2 6 2" xfId="29236"/>
    <cellStyle name="Normal 4 2 2 2 7" xfId="3181"/>
    <cellStyle name="Normal 4 2 2 2 7 2" xfId="25956"/>
    <cellStyle name="Normal 4 2 2 2 8" xfId="7117"/>
    <cellStyle name="Normal 4 2 2 2 8 2" xfId="29892"/>
    <cellStyle name="Normal 4 2 2 2 9" xfId="7773"/>
    <cellStyle name="Normal 4 2 2 2 9 2" xfId="30548"/>
    <cellStyle name="Normal 4 2 2 20" xfId="13349"/>
    <cellStyle name="Normal 4 2 2 20 2" xfId="36124"/>
    <cellStyle name="Normal 4 2 2 21" xfId="14005"/>
    <cellStyle name="Normal 4 2 2 21 2" xfId="36780"/>
    <cellStyle name="Normal 4 2 2 22" xfId="14661"/>
    <cellStyle name="Normal 4 2 2 22 2" xfId="37436"/>
    <cellStyle name="Normal 4 2 2 23" xfId="15317"/>
    <cellStyle name="Normal 4 2 2 23 2" xfId="38092"/>
    <cellStyle name="Normal 4 2 2 24" xfId="15973"/>
    <cellStyle name="Normal 4 2 2 24 2" xfId="38748"/>
    <cellStyle name="Normal 4 2 2 25" xfId="16629"/>
    <cellStyle name="Normal 4 2 2 25 2" xfId="39404"/>
    <cellStyle name="Normal 4 2 2 26" xfId="17285"/>
    <cellStyle name="Normal 4 2 2 26 2" xfId="40060"/>
    <cellStyle name="Normal 4 2 2 27" xfId="17941"/>
    <cellStyle name="Normal 4 2 2 27 2" xfId="40716"/>
    <cellStyle name="Normal 4 2 2 28" xfId="18597"/>
    <cellStyle name="Normal 4 2 2 28 2" xfId="41372"/>
    <cellStyle name="Normal 4 2 2 29" xfId="19253"/>
    <cellStyle name="Normal 4 2 2 29 2" xfId="42028"/>
    <cellStyle name="Normal 4 2 2 3" xfId="1213"/>
    <cellStyle name="Normal 4 2 2 3 2" xfId="2853"/>
    <cellStyle name="Normal 4 2 2 3 2 2" xfId="25628"/>
    <cellStyle name="Normal 4 2 2 3 3" xfId="23988"/>
    <cellStyle name="Normal 4 2 2 30" xfId="19909"/>
    <cellStyle name="Normal 4 2 2 30 2" xfId="42684"/>
    <cellStyle name="Normal 4 2 2 31" xfId="20565"/>
    <cellStyle name="Normal 4 2 2 31 2" xfId="43340"/>
    <cellStyle name="Normal 4 2 2 32" xfId="21221"/>
    <cellStyle name="Normal 4 2 2 32 2" xfId="43996"/>
    <cellStyle name="Normal 4 2 2 33" xfId="21877"/>
    <cellStyle name="Normal 4 2 2 33 2" xfId="44652"/>
    <cellStyle name="Normal 4 2 2 34" xfId="22533"/>
    <cellStyle name="Normal 4 2 2 34 2" xfId="45308"/>
    <cellStyle name="Normal 4 2 2 35" xfId="23332"/>
    <cellStyle name="Normal 4 2 2 4" xfId="1869"/>
    <cellStyle name="Normal 4 2 2 4 2" xfId="3509"/>
    <cellStyle name="Normal 4 2 2 4 2 2" xfId="26284"/>
    <cellStyle name="Normal 4 2 2 4 3" xfId="24644"/>
    <cellStyle name="Normal 4 2 2 5" xfId="4165"/>
    <cellStyle name="Normal 4 2 2 5 2" xfId="26940"/>
    <cellStyle name="Normal 4 2 2 6" xfId="4821"/>
    <cellStyle name="Normal 4 2 2 6 2" xfId="27596"/>
    <cellStyle name="Normal 4 2 2 7" xfId="5477"/>
    <cellStyle name="Normal 4 2 2 7 2" xfId="28252"/>
    <cellStyle name="Normal 4 2 2 8" xfId="6133"/>
    <cellStyle name="Normal 4 2 2 8 2" xfId="28908"/>
    <cellStyle name="Normal 4 2 2 9" xfId="2525"/>
    <cellStyle name="Normal 4 2 2 9 2" xfId="25300"/>
    <cellStyle name="Normal 4 2 20" xfId="12508"/>
    <cellStyle name="Normal 4 2 20 2" xfId="35283"/>
    <cellStyle name="Normal 4 2 21" xfId="13164"/>
    <cellStyle name="Normal 4 2 21 2" xfId="35939"/>
    <cellStyle name="Normal 4 2 22" xfId="13820"/>
    <cellStyle name="Normal 4 2 22 2" xfId="36595"/>
    <cellStyle name="Normal 4 2 23" xfId="14476"/>
    <cellStyle name="Normal 4 2 23 2" xfId="37251"/>
    <cellStyle name="Normal 4 2 24" xfId="15132"/>
    <cellStyle name="Normal 4 2 24 2" xfId="37907"/>
    <cellStyle name="Normal 4 2 25" xfId="15788"/>
    <cellStyle name="Normal 4 2 25 2" xfId="38563"/>
    <cellStyle name="Normal 4 2 26" xfId="16444"/>
    <cellStyle name="Normal 4 2 26 2" xfId="39219"/>
    <cellStyle name="Normal 4 2 27" xfId="17100"/>
    <cellStyle name="Normal 4 2 27 2" xfId="39875"/>
    <cellStyle name="Normal 4 2 28" xfId="17756"/>
    <cellStyle name="Normal 4 2 28 2" xfId="40531"/>
    <cellStyle name="Normal 4 2 29" xfId="18412"/>
    <cellStyle name="Normal 4 2 29 2" xfId="41187"/>
    <cellStyle name="Normal 4 2 3" xfId="700"/>
    <cellStyle name="Normal 4 2 3 10" xfId="8244"/>
    <cellStyle name="Normal 4 2 3 10 2" xfId="31019"/>
    <cellStyle name="Normal 4 2 3 11" xfId="8900"/>
    <cellStyle name="Normal 4 2 3 11 2" xfId="31675"/>
    <cellStyle name="Normal 4 2 3 12" xfId="9556"/>
    <cellStyle name="Normal 4 2 3 12 2" xfId="32331"/>
    <cellStyle name="Normal 4 2 3 13" xfId="10212"/>
    <cellStyle name="Normal 4 2 3 13 2" xfId="32987"/>
    <cellStyle name="Normal 4 2 3 14" xfId="10868"/>
    <cellStyle name="Normal 4 2 3 14 2" xfId="33643"/>
    <cellStyle name="Normal 4 2 3 15" xfId="11524"/>
    <cellStyle name="Normal 4 2 3 15 2" xfId="34299"/>
    <cellStyle name="Normal 4 2 3 16" xfId="12180"/>
    <cellStyle name="Normal 4 2 3 16 2" xfId="34955"/>
    <cellStyle name="Normal 4 2 3 17" xfId="12836"/>
    <cellStyle name="Normal 4 2 3 17 2" xfId="35611"/>
    <cellStyle name="Normal 4 2 3 18" xfId="13492"/>
    <cellStyle name="Normal 4 2 3 18 2" xfId="36267"/>
    <cellStyle name="Normal 4 2 3 19" xfId="14148"/>
    <cellStyle name="Normal 4 2 3 19 2" xfId="36923"/>
    <cellStyle name="Normal 4 2 3 2" xfId="1356"/>
    <cellStyle name="Normal 4 2 3 2 2" xfId="3652"/>
    <cellStyle name="Normal 4 2 3 2 2 2" xfId="26427"/>
    <cellStyle name="Normal 4 2 3 2 3" xfId="24131"/>
    <cellStyle name="Normal 4 2 3 20" xfId="14804"/>
    <cellStyle name="Normal 4 2 3 20 2" xfId="37579"/>
    <cellStyle name="Normal 4 2 3 21" xfId="15460"/>
    <cellStyle name="Normal 4 2 3 21 2" xfId="38235"/>
    <cellStyle name="Normal 4 2 3 22" xfId="16116"/>
    <cellStyle name="Normal 4 2 3 22 2" xfId="38891"/>
    <cellStyle name="Normal 4 2 3 23" xfId="16772"/>
    <cellStyle name="Normal 4 2 3 23 2" xfId="39547"/>
    <cellStyle name="Normal 4 2 3 24" xfId="17428"/>
    <cellStyle name="Normal 4 2 3 24 2" xfId="40203"/>
    <cellStyle name="Normal 4 2 3 25" xfId="18084"/>
    <cellStyle name="Normal 4 2 3 25 2" xfId="40859"/>
    <cellStyle name="Normal 4 2 3 26" xfId="18740"/>
    <cellStyle name="Normal 4 2 3 26 2" xfId="41515"/>
    <cellStyle name="Normal 4 2 3 27" xfId="19396"/>
    <cellStyle name="Normal 4 2 3 27 2" xfId="42171"/>
    <cellStyle name="Normal 4 2 3 28" xfId="20052"/>
    <cellStyle name="Normal 4 2 3 28 2" xfId="42827"/>
    <cellStyle name="Normal 4 2 3 29" xfId="20708"/>
    <cellStyle name="Normal 4 2 3 29 2" xfId="43483"/>
    <cellStyle name="Normal 4 2 3 3" xfId="2012"/>
    <cellStyle name="Normal 4 2 3 3 2" xfId="4308"/>
    <cellStyle name="Normal 4 2 3 3 2 2" xfId="27083"/>
    <cellStyle name="Normal 4 2 3 3 3" xfId="24787"/>
    <cellStyle name="Normal 4 2 3 30" xfId="21364"/>
    <cellStyle name="Normal 4 2 3 30 2" xfId="44139"/>
    <cellStyle name="Normal 4 2 3 31" xfId="22020"/>
    <cellStyle name="Normal 4 2 3 31 2" xfId="44795"/>
    <cellStyle name="Normal 4 2 3 32" xfId="22676"/>
    <cellStyle name="Normal 4 2 3 32 2" xfId="45451"/>
    <cellStyle name="Normal 4 2 3 33" xfId="23475"/>
    <cellStyle name="Normal 4 2 3 4" xfId="4964"/>
    <cellStyle name="Normal 4 2 3 4 2" xfId="27739"/>
    <cellStyle name="Normal 4 2 3 5" xfId="5620"/>
    <cellStyle name="Normal 4 2 3 5 2" xfId="28395"/>
    <cellStyle name="Normal 4 2 3 6" xfId="6276"/>
    <cellStyle name="Normal 4 2 3 6 2" xfId="29051"/>
    <cellStyle name="Normal 4 2 3 7" xfId="2996"/>
    <cellStyle name="Normal 4 2 3 7 2" xfId="25771"/>
    <cellStyle name="Normal 4 2 3 8" xfId="6932"/>
    <cellStyle name="Normal 4 2 3 8 2" xfId="29707"/>
    <cellStyle name="Normal 4 2 3 9" xfId="7588"/>
    <cellStyle name="Normal 4 2 3 9 2" xfId="30363"/>
    <cellStyle name="Normal 4 2 30" xfId="19068"/>
    <cellStyle name="Normal 4 2 30 2" xfId="41843"/>
    <cellStyle name="Normal 4 2 31" xfId="19724"/>
    <cellStyle name="Normal 4 2 31 2" xfId="42499"/>
    <cellStyle name="Normal 4 2 32" xfId="20380"/>
    <cellStyle name="Normal 4 2 32 2" xfId="43155"/>
    <cellStyle name="Normal 4 2 33" xfId="21036"/>
    <cellStyle name="Normal 4 2 33 2" xfId="43811"/>
    <cellStyle name="Normal 4 2 34" xfId="21692"/>
    <cellStyle name="Normal 4 2 34 2" xfId="44467"/>
    <cellStyle name="Normal 4 2 35" xfId="22348"/>
    <cellStyle name="Normal 4 2 35 2" xfId="45123"/>
    <cellStyle name="Normal 4 2 36" xfId="23004"/>
    <cellStyle name="Normal 4 2 4" xfId="373"/>
    <cellStyle name="Normal 4 2 4 2" xfId="2668"/>
    <cellStyle name="Normal 4 2 4 2 2" xfId="25443"/>
    <cellStyle name="Normal 4 2 4 3" xfId="23147"/>
    <cellStyle name="Normal 4 2 5" xfId="1028"/>
    <cellStyle name="Normal 4 2 5 2" xfId="3324"/>
    <cellStyle name="Normal 4 2 5 2 2" xfId="26099"/>
    <cellStyle name="Normal 4 2 5 3" xfId="23803"/>
    <cellStyle name="Normal 4 2 6" xfId="1684"/>
    <cellStyle name="Normal 4 2 6 2" xfId="3980"/>
    <cellStyle name="Normal 4 2 6 2 2" xfId="26755"/>
    <cellStyle name="Normal 4 2 6 3" xfId="24459"/>
    <cellStyle name="Normal 4 2 7" xfId="4636"/>
    <cellStyle name="Normal 4 2 7 2" xfId="27411"/>
    <cellStyle name="Normal 4 2 8" xfId="5292"/>
    <cellStyle name="Normal 4 2 8 2" xfId="28067"/>
    <cellStyle name="Normal 4 2 9" xfId="5948"/>
    <cellStyle name="Normal 4 2 9 2" xfId="28723"/>
    <cellStyle name="Normal 4 20" xfId="11766"/>
    <cellStyle name="Normal 4 20 2" xfId="34541"/>
    <cellStyle name="Normal 4 21" xfId="12422"/>
    <cellStyle name="Normal 4 21 2" xfId="35197"/>
    <cellStyle name="Normal 4 22" xfId="13078"/>
    <cellStyle name="Normal 4 22 2" xfId="35853"/>
    <cellStyle name="Normal 4 23" xfId="13734"/>
    <cellStyle name="Normal 4 23 2" xfId="36509"/>
    <cellStyle name="Normal 4 24" xfId="14390"/>
    <cellStyle name="Normal 4 24 2" xfId="37165"/>
    <cellStyle name="Normal 4 25" xfId="15046"/>
    <cellStyle name="Normal 4 25 2" xfId="37821"/>
    <cellStyle name="Normal 4 26" xfId="15702"/>
    <cellStyle name="Normal 4 26 2" xfId="38477"/>
    <cellStyle name="Normal 4 27" xfId="16358"/>
    <cellStyle name="Normal 4 27 2" xfId="39133"/>
    <cellStyle name="Normal 4 28" xfId="17014"/>
    <cellStyle name="Normal 4 28 2" xfId="39789"/>
    <cellStyle name="Normal 4 29" xfId="17670"/>
    <cellStyle name="Normal 4 29 2" xfId="40445"/>
    <cellStyle name="Normal 4 3" xfId="472"/>
    <cellStyle name="Normal 4 3 10" xfId="6703"/>
    <cellStyle name="Normal 4 3 10 2" xfId="29478"/>
    <cellStyle name="Normal 4 3 11" xfId="7359"/>
    <cellStyle name="Normal 4 3 11 2" xfId="30134"/>
    <cellStyle name="Normal 4 3 12" xfId="8015"/>
    <cellStyle name="Normal 4 3 12 2" xfId="30790"/>
    <cellStyle name="Normal 4 3 13" xfId="8671"/>
    <cellStyle name="Normal 4 3 13 2" xfId="31446"/>
    <cellStyle name="Normal 4 3 14" xfId="9327"/>
    <cellStyle name="Normal 4 3 14 2" xfId="32102"/>
    <cellStyle name="Normal 4 3 15" xfId="9983"/>
    <cellStyle name="Normal 4 3 15 2" xfId="32758"/>
    <cellStyle name="Normal 4 3 16" xfId="10639"/>
    <cellStyle name="Normal 4 3 16 2" xfId="33414"/>
    <cellStyle name="Normal 4 3 17" xfId="11295"/>
    <cellStyle name="Normal 4 3 17 2" xfId="34070"/>
    <cellStyle name="Normal 4 3 18" xfId="11951"/>
    <cellStyle name="Normal 4 3 18 2" xfId="34726"/>
    <cellStyle name="Normal 4 3 19" xfId="12607"/>
    <cellStyle name="Normal 4 3 19 2" xfId="35382"/>
    <cellStyle name="Normal 4 3 2" xfId="799"/>
    <cellStyle name="Normal 4 3 2 10" xfId="8343"/>
    <cellStyle name="Normal 4 3 2 10 2" xfId="31118"/>
    <cellStyle name="Normal 4 3 2 11" xfId="8999"/>
    <cellStyle name="Normal 4 3 2 11 2" xfId="31774"/>
    <cellStyle name="Normal 4 3 2 12" xfId="9655"/>
    <cellStyle name="Normal 4 3 2 12 2" xfId="32430"/>
    <cellStyle name="Normal 4 3 2 13" xfId="10311"/>
    <cellStyle name="Normal 4 3 2 13 2" xfId="33086"/>
    <cellStyle name="Normal 4 3 2 14" xfId="10967"/>
    <cellStyle name="Normal 4 3 2 14 2" xfId="33742"/>
    <cellStyle name="Normal 4 3 2 15" xfId="11623"/>
    <cellStyle name="Normal 4 3 2 15 2" xfId="34398"/>
    <cellStyle name="Normal 4 3 2 16" xfId="12279"/>
    <cellStyle name="Normal 4 3 2 16 2" xfId="35054"/>
    <cellStyle name="Normal 4 3 2 17" xfId="12935"/>
    <cellStyle name="Normal 4 3 2 17 2" xfId="35710"/>
    <cellStyle name="Normal 4 3 2 18" xfId="13591"/>
    <cellStyle name="Normal 4 3 2 18 2" xfId="36366"/>
    <cellStyle name="Normal 4 3 2 19" xfId="14247"/>
    <cellStyle name="Normal 4 3 2 19 2" xfId="37022"/>
    <cellStyle name="Normal 4 3 2 2" xfId="1455"/>
    <cellStyle name="Normal 4 3 2 2 2" xfId="3751"/>
    <cellStyle name="Normal 4 3 2 2 2 2" xfId="26526"/>
    <cellStyle name="Normal 4 3 2 2 3" xfId="24230"/>
    <cellStyle name="Normal 4 3 2 20" xfId="14903"/>
    <cellStyle name="Normal 4 3 2 20 2" xfId="37678"/>
    <cellStyle name="Normal 4 3 2 21" xfId="15559"/>
    <cellStyle name="Normal 4 3 2 21 2" xfId="38334"/>
    <cellStyle name="Normal 4 3 2 22" xfId="16215"/>
    <cellStyle name="Normal 4 3 2 22 2" xfId="38990"/>
    <cellStyle name="Normal 4 3 2 23" xfId="16871"/>
    <cellStyle name="Normal 4 3 2 23 2" xfId="39646"/>
    <cellStyle name="Normal 4 3 2 24" xfId="17527"/>
    <cellStyle name="Normal 4 3 2 24 2" xfId="40302"/>
    <cellStyle name="Normal 4 3 2 25" xfId="18183"/>
    <cellStyle name="Normal 4 3 2 25 2" xfId="40958"/>
    <cellStyle name="Normal 4 3 2 26" xfId="18839"/>
    <cellStyle name="Normal 4 3 2 26 2" xfId="41614"/>
    <cellStyle name="Normal 4 3 2 27" xfId="19495"/>
    <cellStyle name="Normal 4 3 2 27 2" xfId="42270"/>
    <cellStyle name="Normal 4 3 2 28" xfId="20151"/>
    <cellStyle name="Normal 4 3 2 28 2" xfId="42926"/>
    <cellStyle name="Normal 4 3 2 29" xfId="20807"/>
    <cellStyle name="Normal 4 3 2 29 2" xfId="43582"/>
    <cellStyle name="Normal 4 3 2 3" xfId="2111"/>
    <cellStyle name="Normal 4 3 2 3 2" xfId="4407"/>
    <cellStyle name="Normal 4 3 2 3 2 2" xfId="27182"/>
    <cellStyle name="Normal 4 3 2 3 3" xfId="24886"/>
    <cellStyle name="Normal 4 3 2 30" xfId="21463"/>
    <cellStyle name="Normal 4 3 2 30 2" xfId="44238"/>
    <cellStyle name="Normal 4 3 2 31" xfId="22119"/>
    <cellStyle name="Normal 4 3 2 31 2" xfId="44894"/>
    <cellStyle name="Normal 4 3 2 32" xfId="22775"/>
    <cellStyle name="Normal 4 3 2 32 2" xfId="45550"/>
    <cellStyle name="Normal 4 3 2 33" xfId="23574"/>
    <cellStyle name="Normal 4 3 2 4" xfId="5063"/>
    <cellStyle name="Normal 4 3 2 4 2" xfId="27838"/>
    <cellStyle name="Normal 4 3 2 5" xfId="5719"/>
    <cellStyle name="Normal 4 3 2 5 2" xfId="28494"/>
    <cellStyle name="Normal 4 3 2 6" xfId="6375"/>
    <cellStyle name="Normal 4 3 2 6 2" xfId="29150"/>
    <cellStyle name="Normal 4 3 2 7" xfId="3095"/>
    <cellStyle name="Normal 4 3 2 7 2" xfId="25870"/>
    <cellStyle name="Normal 4 3 2 8" xfId="7031"/>
    <cellStyle name="Normal 4 3 2 8 2" xfId="29806"/>
    <cellStyle name="Normal 4 3 2 9" xfId="7687"/>
    <cellStyle name="Normal 4 3 2 9 2" xfId="30462"/>
    <cellStyle name="Normal 4 3 20" xfId="13263"/>
    <cellStyle name="Normal 4 3 20 2" xfId="36038"/>
    <cellStyle name="Normal 4 3 21" xfId="13919"/>
    <cellStyle name="Normal 4 3 21 2" xfId="36694"/>
    <cellStyle name="Normal 4 3 22" xfId="14575"/>
    <cellStyle name="Normal 4 3 22 2" xfId="37350"/>
    <cellStyle name="Normal 4 3 23" xfId="15231"/>
    <cellStyle name="Normal 4 3 23 2" xfId="38006"/>
    <cellStyle name="Normal 4 3 24" xfId="15887"/>
    <cellStyle name="Normal 4 3 24 2" xfId="38662"/>
    <cellStyle name="Normal 4 3 25" xfId="16543"/>
    <cellStyle name="Normal 4 3 25 2" xfId="39318"/>
    <cellStyle name="Normal 4 3 26" xfId="17199"/>
    <cellStyle name="Normal 4 3 26 2" xfId="39974"/>
    <cellStyle name="Normal 4 3 27" xfId="17855"/>
    <cellStyle name="Normal 4 3 27 2" xfId="40630"/>
    <cellStyle name="Normal 4 3 28" xfId="18511"/>
    <cellStyle name="Normal 4 3 28 2" xfId="41286"/>
    <cellStyle name="Normal 4 3 29" xfId="19167"/>
    <cellStyle name="Normal 4 3 29 2" xfId="41942"/>
    <cellStyle name="Normal 4 3 3" xfId="1127"/>
    <cellStyle name="Normal 4 3 3 2" xfId="2767"/>
    <cellStyle name="Normal 4 3 3 2 2" xfId="25542"/>
    <cellStyle name="Normal 4 3 3 3" xfId="23902"/>
    <cellStyle name="Normal 4 3 30" xfId="19823"/>
    <cellStyle name="Normal 4 3 30 2" xfId="42598"/>
    <cellStyle name="Normal 4 3 31" xfId="20479"/>
    <cellStyle name="Normal 4 3 31 2" xfId="43254"/>
    <cellStyle name="Normal 4 3 32" xfId="21135"/>
    <cellStyle name="Normal 4 3 32 2" xfId="43910"/>
    <cellStyle name="Normal 4 3 33" xfId="21791"/>
    <cellStyle name="Normal 4 3 33 2" xfId="44566"/>
    <cellStyle name="Normal 4 3 34" xfId="22447"/>
    <cellStyle name="Normal 4 3 34 2" xfId="45222"/>
    <cellStyle name="Normal 4 3 35" xfId="23246"/>
    <cellStyle name="Normal 4 3 4" xfId="1783"/>
    <cellStyle name="Normal 4 3 4 2" xfId="3423"/>
    <cellStyle name="Normal 4 3 4 2 2" xfId="26198"/>
    <cellStyle name="Normal 4 3 4 3" xfId="24558"/>
    <cellStyle name="Normal 4 3 5" xfId="4079"/>
    <cellStyle name="Normal 4 3 5 2" xfId="26854"/>
    <cellStyle name="Normal 4 3 6" xfId="4735"/>
    <cellStyle name="Normal 4 3 6 2" xfId="27510"/>
    <cellStyle name="Normal 4 3 7" xfId="5391"/>
    <cellStyle name="Normal 4 3 7 2" xfId="28166"/>
    <cellStyle name="Normal 4 3 8" xfId="6047"/>
    <cellStyle name="Normal 4 3 8 2" xfId="28822"/>
    <cellStyle name="Normal 4 3 9" xfId="2439"/>
    <cellStyle name="Normal 4 3 9 2" xfId="25214"/>
    <cellStyle name="Normal 4 30" xfId="18326"/>
    <cellStyle name="Normal 4 30 2" xfId="41101"/>
    <cellStyle name="Normal 4 31" xfId="18982"/>
    <cellStyle name="Normal 4 31 2" xfId="41757"/>
    <cellStyle name="Normal 4 32" xfId="19638"/>
    <cellStyle name="Normal 4 32 2" xfId="42413"/>
    <cellStyle name="Normal 4 33" xfId="20294"/>
    <cellStyle name="Normal 4 33 2" xfId="43069"/>
    <cellStyle name="Normal 4 34" xfId="20950"/>
    <cellStyle name="Normal 4 34 2" xfId="43725"/>
    <cellStyle name="Normal 4 35" xfId="21606"/>
    <cellStyle name="Normal 4 35 2" xfId="44381"/>
    <cellStyle name="Normal 4 36" xfId="22262"/>
    <cellStyle name="Normal 4 36 2" xfId="45037"/>
    <cellStyle name="Normal 4 37" xfId="201"/>
    <cellStyle name="Normal 4 38" xfId="22918"/>
    <cellStyle name="Normal 4 4" xfId="614"/>
    <cellStyle name="Normal 4 4 10" xfId="8158"/>
    <cellStyle name="Normal 4 4 10 2" xfId="30933"/>
    <cellStyle name="Normal 4 4 11" xfId="8814"/>
    <cellStyle name="Normal 4 4 11 2" xfId="31589"/>
    <cellStyle name="Normal 4 4 12" xfId="9470"/>
    <cellStyle name="Normal 4 4 12 2" xfId="32245"/>
    <cellStyle name="Normal 4 4 13" xfId="10126"/>
    <cellStyle name="Normal 4 4 13 2" xfId="32901"/>
    <cellStyle name="Normal 4 4 14" xfId="10782"/>
    <cellStyle name="Normal 4 4 14 2" xfId="33557"/>
    <cellStyle name="Normal 4 4 15" xfId="11438"/>
    <cellStyle name="Normal 4 4 15 2" xfId="34213"/>
    <cellStyle name="Normal 4 4 16" xfId="12094"/>
    <cellStyle name="Normal 4 4 16 2" xfId="34869"/>
    <cellStyle name="Normal 4 4 17" xfId="12750"/>
    <cellStyle name="Normal 4 4 17 2" xfId="35525"/>
    <cellStyle name="Normal 4 4 18" xfId="13406"/>
    <cellStyle name="Normal 4 4 18 2" xfId="36181"/>
    <cellStyle name="Normal 4 4 19" xfId="14062"/>
    <cellStyle name="Normal 4 4 19 2" xfId="36837"/>
    <cellStyle name="Normal 4 4 2" xfId="1270"/>
    <cellStyle name="Normal 4 4 2 2" xfId="3566"/>
    <cellStyle name="Normal 4 4 2 2 2" xfId="26341"/>
    <cellStyle name="Normal 4 4 2 3" xfId="24045"/>
    <cellStyle name="Normal 4 4 20" xfId="14718"/>
    <cellStyle name="Normal 4 4 20 2" xfId="37493"/>
    <cellStyle name="Normal 4 4 21" xfId="15374"/>
    <cellStyle name="Normal 4 4 21 2" xfId="38149"/>
    <cellStyle name="Normal 4 4 22" xfId="16030"/>
    <cellStyle name="Normal 4 4 22 2" xfId="38805"/>
    <cellStyle name="Normal 4 4 23" xfId="16686"/>
    <cellStyle name="Normal 4 4 23 2" xfId="39461"/>
    <cellStyle name="Normal 4 4 24" xfId="17342"/>
    <cellStyle name="Normal 4 4 24 2" xfId="40117"/>
    <cellStyle name="Normal 4 4 25" xfId="17998"/>
    <cellStyle name="Normal 4 4 25 2" xfId="40773"/>
    <cellStyle name="Normal 4 4 26" xfId="18654"/>
    <cellStyle name="Normal 4 4 26 2" xfId="41429"/>
    <cellStyle name="Normal 4 4 27" xfId="19310"/>
    <cellStyle name="Normal 4 4 27 2" xfId="42085"/>
    <cellStyle name="Normal 4 4 28" xfId="19966"/>
    <cellStyle name="Normal 4 4 28 2" xfId="42741"/>
    <cellStyle name="Normal 4 4 29" xfId="20622"/>
    <cellStyle name="Normal 4 4 29 2" xfId="43397"/>
    <cellStyle name="Normal 4 4 3" xfId="1926"/>
    <cellStyle name="Normal 4 4 3 2" xfId="4222"/>
    <cellStyle name="Normal 4 4 3 2 2" xfId="26997"/>
    <cellStyle name="Normal 4 4 3 3" xfId="24701"/>
    <cellStyle name="Normal 4 4 30" xfId="21278"/>
    <cellStyle name="Normal 4 4 30 2" xfId="44053"/>
    <cellStyle name="Normal 4 4 31" xfId="21934"/>
    <cellStyle name="Normal 4 4 31 2" xfId="44709"/>
    <cellStyle name="Normal 4 4 32" xfId="22590"/>
    <cellStyle name="Normal 4 4 32 2" xfId="45365"/>
    <cellStyle name="Normal 4 4 33" xfId="23389"/>
    <cellStyle name="Normal 4 4 4" xfId="4878"/>
    <cellStyle name="Normal 4 4 4 2" xfId="27653"/>
    <cellStyle name="Normal 4 4 5" xfId="5534"/>
    <cellStyle name="Normal 4 4 5 2" xfId="28309"/>
    <cellStyle name="Normal 4 4 6" xfId="6190"/>
    <cellStyle name="Normal 4 4 6 2" xfId="28965"/>
    <cellStyle name="Normal 4 4 7" xfId="2910"/>
    <cellStyle name="Normal 4 4 7 2" xfId="25685"/>
    <cellStyle name="Normal 4 4 8" xfId="6846"/>
    <cellStyle name="Normal 4 4 8 2" xfId="29621"/>
    <cellStyle name="Normal 4 4 9" xfId="7502"/>
    <cellStyle name="Normal 4 4 9 2" xfId="30277"/>
    <cellStyle name="Normal 4 5" xfId="287"/>
    <cellStyle name="Normal 4 5 2" xfId="2582"/>
    <cellStyle name="Normal 4 5 2 2" xfId="25357"/>
    <cellStyle name="Normal 4 5 3" xfId="23061"/>
    <cellStyle name="Normal 4 6" xfId="942"/>
    <cellStyle name="Normal 4 6 2" xfId="3238"/>
    <cellStyle name="Normal 4 6 2 2" xfId="26013"/>
    <cellStyle name="Normal 4 6 3" xfId="23717"/>
    <cellStyle name="Normal 4 7" xfId="1598"/>
    <cellStyle name="Normal 4 7 2" xfId="3894"/>
    <cellStyle name="Normal 4 7 2 2" xfId="26669"/>
    <cellStyle name="Normal 4 7 3" xfId="24373"/>
    <cellStyle name="Normal 4 8" xfId="4550"/>
    <cellStyle name="Normal 4 8 2" xfId="27325"/>
    <cellStyle name="Normal 4 9" xfId="5206"/>
    <cellStyle name="Normal 4 9 2" xfId="27981"/>
    <cellStyle name="Normal 5" xfId="44"/>
    <cellStyle name="Normal 5 10" xfId="5877"/>
    <cellStyle name="Normal 5 10 2" xfId="28652"/>
    <cellStyle name="Normal 5 11" xfId="2269"/>
    <cellStyle name="Normal 5 11 2" xfId="25044"/>
    <cellStyle name="Normal 5 12" xfId="6533"/>
    <cellStyle name="Normal 5 12 2" xfId="29308"/>
    <cellStyle name="Normal 5 13" xfId="7189"/>
    <cellStyle name="Normal 5 13 2" xfId="29964"/>
    <cellStyle name="Normal 5 14" xfId="7845"/>
    <cellStyle name="Normal 5 14 2" xfId="30620"/>
    <cellStyle name="Normal 5 15" xfId="8501"/>
    <cellStyle name="Normal 5 15 2" xfId="31276"/>
    <cellStyle name="Normal 5 16" xfId="9157"/>
    <cellStyle name="Normal 5 16 2" xfId="31932"/>
    <cellStyle name="Normal 5 17" xfId="9813"/>
    <cellStyle name="Normal 5 17 2" xfId="32588"/>
    <cellStyle name="Normal 5 18" xfId="10469"/>
    <cellStyle name="Normal 5 18 2" xfId="33244"/>
    <cellStyle name="Normal 5 19" xfId="11125"/>
    <cellStyle name="Normal 5 19 2" xfId="33900"/>
    <cellStyle name="Normal 5 2" xfId="156"/>
    <cellStyle name="Normal 5 2 10" xfId="2354"/>
    <cellStyle name="Normal 5 2 10 2" xfId="25129"/>
    <cellStyle name="Normal 5 2 11" xfId="6618"/>
    <cellStyle name="Normal 5 2 11 2" xfId="29393"/>
    <cellStyle name="Normal 5 2 12" xfId="7274"/>
    <cellStyle name="Normal 5 2 12 2" xfId="30049"/>
    <cellStyle name="Normal 5 2 13" xfId="7930"/>
    <cellStyle name="Normal 5 2 13 2" xfId="30705"/>
    <cellStyle name="Normal 5 2 14" xfId="8586"/>
    <cellStyle name="Normal 5 2 14 2" xfId="31361"/>
    <cellStyle name="Normal 5 2 15" xfId="9242"/>
    <cellStyle name="Normal 5 2 15 2" xfId="32017"/>
    <cellStyle name="Normal 5 2 16" xfId="9898"/>
    <cellStyle name="Normal 5 2 16 2" xfId="32673"/>
    <cellStyle name="Normal 5 2 17" xfId="10554"/>
    <cellStyle name="Normal 5 2 17 2" xfId="33329"/>
    <cellStyle name="Normal 5 2 18" xfId="11210"/>
    <cellStyle name="Normal 5 2 18 2" xfId="33985"/>
    <cellStyle name="Normal 5 2 19" xfId="11866"/>
    <cellStyle name="Normal 5 2 19 2" xfId="34641"/>
    <cellStyle name="Normal 5 2 2" xfId="570"/>
    <cellStyle name="Normal 5 2 2 10" xfId="6803"/>
    <cellStyle name="Normal 5 2 2 10 2" xfId="29578"/>
    <cellStyle name="Normal 5 2 2 11" xfId="7459"/>
    <cellStyle name="Normal 5 2 2 11 2" xfId="30234"/>
    <cellStyle name="Normal 5 2 2 12" xfId="8115"/>
    <cellStyle name="Normal 5 2 2 12 2" xfId="30890"/>
    <cellStyle name="Normal 5 2 2 13" xfId="8771"/>
    <cellStyle name="Normal 5 2 2 13 2" xfId="31546"/>
    <cellStyle name="Normal 5 2 2 14" xfId="9427"/>
    <cellStyle name="Normal 5 2 2 14 2" xfId="32202"/>
    <cellStyle name="Normal 5 2 2 15" xfId="10083"/>
    <cellStyle name="Normal 5 2 2 15 2" xfId="32858"/>
    <cellStyle name="Normal 5 2 2 16" xfId="10739"/>
    <cellStyle name="Normal 5 2 2 16 2" xfId="33514"/>
    <cellStyle name="Normal 5 2 2 17" xfId="11395"/>
    <cellStyle name="Normal 5 2 2 17 2" xfId="34170"/>
    <cellStyle name="Normal 5 2 2 18" xfId="12051"/>
    <cellStyle name="Normal 5 2 2 18 2" xfId="34826"/>
    <cellStyle name="Normal 5 2 2 19" xfId="12707"/>
    <cellStyle name="Normal 5 2 2 19 2" xfId="35482"/>
    <cellStyle name="Normal 5 2 2 2" xfId="899"/>
    <cellStyle name="Normal 5 2 2 2 10" xfId="8443"/>
    <cellStyle name="Normal 5 2 2 2 10 2" xfId="31218"/>
    <cellStyle name="Normal 5 2 2 2 11" xfId="9099"/>
    <cellStyle name="Normal 5 2 2 2 11 2" xfId="31874"/>
    <cellStyle name="Normal 5 2 2 2 12" xfId="9755"/>
    <cellStyle name="Normal 5 2 2 2 12 2" xfId="32530"/>
    <cellStyle name="Normal 5 2 2 2 13" xfId="10411"/>
    <cellStyle name="Normal 5 2 2 2 13 2" xfId="33186"/>
    <cellStyle name="Normal 5 2 2 2 14" xfId="11067"/>
    <cellStyle name="Normal 5 2 2 2 14 2" xfId="33842"/>
    <cellStyle name="Normal 5 2 2 2 15" xfId="11723"/>
    <cellStyle name="Normal 5 2 2 2 15 2" xfId="34498"/>
    <cellStyle name="Normal 5 2 2 2 16" xfId="12379"/>
    <cellStyle name="Normal 5 2 2 2 16 2" xfId="35154"/>
    <cellStyle name="Normal 5 2 2 2 17" xfId="13035"/>
    <cellStyle name="Normal 5 2 2 2 17 2" xfId="35810"/>
    <cellStyle name="Normal 5 2 2 2 18" xfId="13691"/>
    <cellStyle name="Normal 5 2 2 2 18 2" xfId="36466"/>
    <cellStyle name="Normal 5 2 2 2 19" xfId="14347"/>
    <cellStyle name="Normal 5 2 2 2 19 2" xfId="37122"/>
    <cellStyle name="Normal 5 2 2 2 2" xfId="1555"/>
    <cellStyle name="Normal 5 2 2 2 2 2" xfId="3851"/>
    <cellStyle name="Normal 5 2 2 2 2 2 2" xfId="26626"/>
    <cellStyle name="Normal 5 2 2 2 2 3" xfId="24330"/>
    <cellStyle name="Normal 5 2 2 2 20" xfId="15003"/>
    <cellStyle name="Normal 5 2 2 2 20 2" xfId="37778"/>
    <cellStyle name="Normal 5 2 2 2 21" xfId="15659"/>
    <cellStyle name="Normal 5 2 2 2 21 2" xfId="38434"/>
    <cellStyle name="Normal 5 2 2 2 22" xfId="16315"/>
    <cellStyle name="Normal 5 2 2 2 22 2" xfId="39090"/>
    <cellStyle name="Normal 5 2 2 2 23" xfId="16971"/>
    <cellStyle name="Normal 5 2 2 2 23 2" xfId="39746"/>
    <cellStyle name="Normal 5 2 2 2 24" xfId="17627"/>
    <cellStyle name="Normal 5 2 2 2 24 2" xfId="40402"/>
    <cellStyle name="Normal 5 2 2 2 25" xfId="18283"/>
    <cellStyle name="Normal 5 2 2 2 25 2" xfId="41058"/>
    <cellStyle name="Normal 5 2 2 2 26" xfId="18939"/>
    <cellStyle name="Normal 5 2 2 2 26 2" xfId="41714"/>
    <cellStyle name="Normal 5 2 2 2 27" xfId="19595"/>
    <cellStyle name="Normal 5 2 2 2 27 2" xfId="42370"/>
    <cellStyle name="Normal 5 2 2 2 28" xfId="20251"/>
    <cellStyle name="Normal 5 2 2 2 28 2" xfId="43026"/>
    <cellStyle name="Normal 5 2 2 2 29" xfId="20907"/>
    <cellStyle name="Normal 5 2 2 2 29 2" xfId="43682"/>
    <cellStyle name="Normal 5 2 2 2 3" xfId="2211"/>
    <cellStyle name="Normal 5 2 2 2 3 2" xfId="4507"/>
    <cellStyle name="Normal 5 2 2 2 3 2 2" xfId="27282"/>
    <cellStyle name="Normal 5 2 2 2 3 3" xfId="24986"/>
    <cellStyle name="Normal 5 2 2 2 30" xfId="21563"/>
    <cellStyle name="Normal 5 2 2 2 30 2" xfId="44338"/>
    <cellStyle name="Normal 5 2 2 2 31" xfId="22219"/>
    <cellStyle name="Normal 5 2 2 2 31 2" xfId="44994"/>
    <cellStyle name="Normal 5 2 2 2 32" xfId="22875"/>
    <cellStyle name="Normal 5 2 2 2 32 2" xfId="45650"/>
    <cellStyle name="Normal 5 2 2 2 33" xfId="23674"/>
    <cellStyle name="Normal 5 2 2 2 4" xfId="5163"/>
    <cellStyle name="Normal 5 2 2 2 4 2" xfId="27938"/>
    <cellStyle name="Normal 5 2 2 2 5" xfId="5819"/>
    <cellStyle name="Normal 5 2 2 2 5 2" xfId="28594"/>
    <cellStyle name="Normal 5 2 2 2 6" xfId="6475"/>
    <cellStyle name="Normal 5 2 2 2 6 2" xfId="29250"/>
    <cellStyle name="Normal 5 2 2 2 7" xfId="3195"/>
    <cellStyle name="Normal 5 2 2 2 7 2" xfId="25970"/>
    <cellStyle name="Normal 5 2 2 2 8" xfId="7131"/>
    <cellStyle name="Normal 5 2 2 2 8 2" xfId="29906"/>
    <cellStyle name="Normal 5 2 2 2 9" xfId="7787"/>
    <cellStyle name="Normal 5 2 2 2 9 2" xfId="30562"/>
    <cellStyle name="Normal 5 2 2 20" xfId="13363"/>
    <cellStyle name="Normal 5 2 2 20 2" xfId="36138"/>
    <cellStyle name="Normal 5 2 2 21" xfId="14019"/>
    <cellStyle name="Normal 5 2 2 21 2" xfId="36794"/>
    <cellStyle name="Normal 5 2 2 22" xfId="14675"/>
    <cellStyle name="Normal 5 2 2 22 2" xfId="37450"/>
    <cellStyle name="Normal 5 2 2 23" xfId="15331"/>
    <cellStyle name="Normal 5 2 2 23 2" xfId="38106"/>
    <cellStyle name="Normal 5 2 2 24" xfId="15987"/>
    <cellStyle name="Normal 5 2 2 24 2" xfId="38762"/>
    <cellStyle name="Normal 5 2 2 25" xfId="16643"/>
    <cellStyle name="Normal 5 2 2 25 2" xfId="39418"/>
    <cellStyle name="Normal 5 2 2 26" xfId="17299"/>
    <cellStyle name="Normal 5 2 2 26 2" xfId="40074"/>
    <cellStyle name="Normal 5 2 2 27" xfId="17955"/>
    <cellStyle name="Normal 5 2 2 27 2" xfId="40730"/>
    <cellStyle name="Normal 5 2 2 28" xfId="18611"/>
    <cellStyle name="Normal 5 2 2 28 2" xfId="41386"/>
    <cellStyle name="Normal 5 2 2 29" xfId="19267"/>
    <cellStyle name="Normal 5 2 2 29 2" xfId="42042"/>
    <cellStyle name="Normal 5 2 2 3" xfId="1227"/>
    <cellStyle name="Normal 5 2 2 3 2" xfId="2867"/>
    <cellStyle name="Normal 5 2 2 3 2 2" xfId="25642"/>
    <cellStyle name="Normal 5 2 2 3 3" xfId="24002"/>
    <cellStyle name="Normal 5 2 2 30" xfId="19923"/>
    <cellStyle name="Normal 5 2 2 30 2" xfId="42698"/>
    <cellStyle name="Normal 5 2 2 31" xfId="20579"/>
    <cellStyle name="Normal 5 2 2 31 2" xfId="43354"/>
    <cellStyle name="Normal 5 2 2 32" xfId="21235"/>
    <cellStyle name="Normal 5 2 2 32 2" xfId="44010"/>
    <cellStyle name="Normal 5 2 2 33" xfId="21891"/>
    <cellStyle name="Normal 5 2 2 33 2" xfId="44666"/>
    <cellStyle name="Normal 5 2 2 34" xfId="22547"/>
    <cellStyle name="Normal 5 2 2 34 2" xfId="45322"/>
    <cellStyle name="Normal 5 2 2 35" xfId="23346"/>
    <cellStyle name="Normal 5 2 2 4" xfId="1883"/>
    <cellStyle name="Normal 5 2 2 4 2" xfId="3523"/>
    <cellStyle name="Normal 5 2 2 4 2 2" xfId="26298"/>
    <cellStyle name="Normal 5 2 2 4 3" xfId="24658"/>
    <cellStyle name="Normal 5 2 2 5" xfId="4179"/>
    <cellStyle name="Normal 5 2 2 5 2" xfId="26954"/>
    <cellStyle name="Normal 5 2 2 6" xfId="4835"/>
    <cellStyle name="Normal 5 2 2 6 2" xfId="27610"/>
    <cellStyle name="Normal 5 2 2 7" xfId="5491"/>
    <cellStyle name="Normal 5 2 2 7 2" xfId="28266"/>
    <cellStyle name="Normal 5 2 2 8" xfId="6147"/>
    <cellStyle name="Normal 5 2 2 8 2" xfId="28922"/>
    <cellStyle name="Normal 5 2 2 9" xfId="2539"/>
    <cellStyle name="Normal 5 2 2 9 2" xfId="25314"/>
    <cellStyle name="Normal 5 2 20" xfId="12522"/>
    <cellStyle name="Normal 5 2 20 2" xfId="35297"/>
    <cellStyle name="Normal 5 2 21" xfId="13178"/>
    <cellStyle name="Normal 5 2 21 2" xfId="35953"/>
    <cellStyle name="Normal 5 2 22" xfId="13834"/>
    <cellStyle name="Normal 5 2 22 2" xfId="36609"/>
    <cellStyle name="Normal 5 2 23" xfId="14490"/>
    <cellStyle name="Normal 5 2 23 2" xfId="37265"/>
    <cellStyle name="Normal 5 2 24" xfId="15146"/>
    <cellStyle name="Normal 5 2 24 2" xfId="37921"/>
    <cellStyle name="Normal 5 2 25" xfId="15802"/>
    <cellStyle name="Normal 5 2 25 2" xfId="38577"/>
    <cellStyle name="Normal 5 2 26" xfId="16458"/>
    <cellStyle name="Normal 5 2 26 2" xfId="39233"/>
    <cellStyle name="Normal 5 2 27" xfId="17114"/>
    <cellStyle name="Normal 5 2 27 2" xfId="39889"/>
    <cellStyle name="Normal 5 2 28" xfId="17770"/>
    <cellStyle name="Normal 5 2 28 2" xfId="40545"/>
    <cellStyle name="Normal 5 2 29" xfId="18426"/>
    <cellStyle name="Normal 5 2 29 2" xfId="41201"/>
    <cellStyle name="Normal 5 2 3" xfId="714"/>
    <cellStyle name="Normal 5 2 3 10" xfId="8258"/>
    <cellStyle name="Normal 5 2 3 10 2" xfId="31033"/>
    <cellStyle name="Normal 5 2 3 11" xfId="8914"/>
    <cellStyle name="Normal 5 2 3 11 2" xfId="31689"/>
    <cellStyle name="Normal 5 2 3 12" xfId="9570"/>
    <cellStyle name="Normal 5 2 3 12 2" xfId="32345"/>
    <cellStyle name="Normal 5 2 3 13" xfId="10226"/>
    <cellStyle name="Normal 5 2 3 13 2" xfId="33001"/>
    <cellStyle name="Normal 5 2 3 14" xfId="10882"/>
    <cellStyle name="Normal 5 2 3 14 2" xfId="33657"/>
    <cellStyle name="Normal 5 2 3 15" xfId="11538"/>
    <cellStyle name="Normal 5 2 3 15 2" xfId="34313"/>
    <cellStyle name="Normal 5 2 3 16" xfId="12194"/>
    <cellStyle name="Normal 5 2 3 16 2" xfId="34969"/>
    <cellStyle name="Normal 5 2 3 17" xfId="12850"/>
    <cellStyle name="Normal 5 2 3 17 2" xfId="35625"/>
    <cellStyle name="Normal 5 2 3 18" xfId="13506"/>
    <cellStyle name="Normal 5 2 3 18 2" xfId="36281"/>
    <cellStyle name="Normal 5 2 3 19" xfId="14162"/>
    <cellStyle name="Normal 5 2 3 19 2" xfId="36937"/>
    <cellStyle name="Normal 5 2 3 2" xfId="1370"/>
    <cellStyle name="Normal 5 2 3 2 2" xfId="3666"/>
    <cellStyle name="Normal 5 2 3 2 2 2" xfId="26441"/>
    <cellStyle name="Normal 5 2 3 2 3" xfId="24145"/>
    <cellStyle name="Normal 5 2 3 20" xfId="14818"/>
    <cellStyle name="Normal 5 2 3 20 2" xfId="37593"/>
    <cellStyle name="Normal 5 2 3 21" xfId="15474"/>
    <cellStyle name="Normal 5 2 3 21 2" xfId="38249"/>
    <cellStyle name="Normal 5 2 3 22" xfId="16130"/>
    <cellStyle name="Normal 5 2 3 22 2" xfId="38905"/>
    <cellStyle name="Normal 5 2 3 23" xfId="16786"/>
    <cellStyle name="Normal 5 2 3 23 2" xfId="39561"/>
    <cellStyle name="Normal 5 2 3 24" xfId="17442"/>
    <cellStyle name="Normal 5 2 3 24 2" xfId="40217"/>
    <cellStyle name="Normal 5 2 3 25" xfId="18098"/>
    <cellStyle name="Normal 5 2 3 25 2" xfId="40873"/>
    <cellStyle name="Normal 5 2 3 26" xfId="18754"/>
    <cellStyle name="Normal 5 2 3 26 2" xfId="41529"/>
    <cellStyle name="Normal 5 2 3 27" xfId="19410"/>
    <cellStyle name="Normal 5 2 3 27 2" xfId="42185"/>
    <cellStyle name="Normal 5 2 3 28" xfId="20066"/>
    <cellStyle name="Normal 5 2 3 28 2" xfId="42841"/>
    <cellStyle name="Normal 5 2 3 29" xfId="20722"/>
    <cellStyle name="Normal 5 2 3 29 2" xfId="43497"/>
    <cellStyle name="Normal 5 2 3 3" xfId="2026"/>
    <cellStyle name="Normal 5 2 3 3 2" xfId="4322"/>
    <cellStyle name="Normal 5 2 3 3 2 2" xfId="27097"/>
    <cellStyle name="Normal 5 2 3 3 3" xfId="24801"/>
    <cellStyle name="Normal 5 2 3 30" xfId="21378"/>
    <cellStyle name="Normal 5 2 3 30 2" xfId="44153"/>
    <cellStyle name="Normal 5 2 3 31" xfId="22034"/>
    <cellStyle name="Normal 5 2 3 31 2" xfId="44809"/>
    <cellStyle name="Normal 5 2 3 32" xfId="22690"/>
    <cellStyle name="Normal 5 2 3 32 2" xfId="45465"/>
    <cellStyle name="Normal 5 2 3 33" xfId="23489"/>
    <cellStyle name="Normal 5 2 3 4" xfId="4978"/>
    <cellStyle name="Normal 5 2 3 4 2" xfId="27753"/>
    <cellStyle name="Normal 5 2 3 5" xfId="5634"/>
    <cellStyle name="Normal 5 2 3 5 2" xfId="28409"/>
    <cellStyle name="Normal 5 2 3 6" xfId="6290"/>
    <cellStyle name="Normal 5 2 3 6 2" xfId="29065"/>
    <cellStyle name="Normal 5 2 3 7" xfId="3010"/>
    <cellStyle name="Normal 5 2 3 7 2" xfId="25785"/>
    <cellStyle name="Normal 5 2 3 8" xfId="6946"/>
    <cellStyle name="Normal 5 2 3 8 2" xfId="29721"/>
    <cellStyle name="Normal 5 2 3 9" xfId="7602"/>
    <cellStyle name="Normal 5 2 3 9 2" xfId="30377"/>
    <cellStyle name="Normal 5 2 30" xfId="19082"/>
    <cellStyle name="Normal 5 2 30 2" xfId="41857"/>
    <cellStyle name="Normal 5 2 31" xfId="19738"/>
    <cellStyle name="Normal 5 2 31 2" xfId="42513"/>
    <cellStyle name="Normal 5 2 32" xfId="20394"/>
    <cellStyle name="Normal 5 2 32 2" xfId="43169"/>
    <cellStyle name="Normal 5 2 33" xfId="21050"/>
    <cellStyle name="Normal 5 2 33 2" xfId="43825"/>
    <cellStyle name="Normal 5 2 34" xfId="21706"/>
    <cellStyle name="Normal 5 2 34 2" xfId="44481"/>
    <cellStyle name="Normal 5 2 35" xfId="22362"/>
    <cellStyle name="Normal 5 2 35 2" xfId="45137"/>
    <cellStyle name="Normal 5 2 36" xfId="23018"/>
    <cellStyle name="Normal 5 2 4" xfId="387"/>
    <cellStyle name="Normal 5 2 4 2" xfId="2682"/>
    <cellStyle name="Normal 5 2 4 2 2" xfId="25457"/>
    <cellStyle name="Normal 5 2 4 3" xfId="23161"/>
    <cellStyle name="Normal 5 2 5" xfId="1042"/>
    <cellStyle name="Normal 5 2 5 2" xfId="3338"/>
    <cellStyle name="Normal 5 2 5 2 2" xfId="26113"/>
    <cellStyle name="Normal 5 2 5 3" xfId="23817"/>
    <cellStyle name="Normal 5 2 6" xfId="1698"/>
    <cellStyle name="Normal 5 2 6 2" xfId="3994"/>
    <cellStyle name="Normal 5 2 6 2 2" xfId="26769"/>
    <cellStyle name="Normal 5 2 6 3" xfId="24473"/>
    <cellStyle name="Normal 5 2 7" xfId="4650"/>
    <cellStyle name="Normal 5 2 7 2" xfId="27425"/>
    <cellStyle name="Normal 5 2 8" xfId="5306"/>
    <cellStyle name="Normal 5 2 8 2" xfId="28081"/>
    <cellStyle name="Normal 5 2 9" xfId="5962"/>
    <cellStyle name="Normal 5 2 9 2" xfId="28737"/>
    <cellStyle name="Normal 5 20" xfId="11781"/>
    <cellStyle name="Normal 5 20 2" xfId="34556"/>
    <cellStyle name="Normal 5 21" xfId="12437"/>
    <cellStyle name="Normal 5 21 2" xfId="35212"/>
    <cellStyle name="Normal 5 22" xfId="13093"/>
    <cellStyle name="Normal 5 22 2" xfId="35868"/>
    <cellStyle name="Normal 5 23" xfId="13749"/>
    <cellStyle name="Normal 5 23 2" xfId="36524"/>
    <cellStyle name="Normal 5 24" xfId="14405"/>
    <cellStyle name="Normal 5 24 2" xfId="37180"/>
    <cellStyle name="Normal 5 25" xfId="15061"/>
    <cellStyle name="Normal 5 25 2" xfId="37836"/>
    <cellStyle name="Normal 5 26" xfId="15717"/>
    <cellStyle name="Normal 5 26 2" xfId="38492"/>
    <cellStyle name="Normal 5 27" xfId="16373"/>
    <cellStyle name="Normal 5 27 2" xfId="39148"/>
    <cellStyle name="Normal 5 28" xfId="17029"/>
    <cellStyle name="Normal 5 28 2" xfId="39804"/>
    <cellStyle name="Normal 5 29" xfId="17685"/>
    <cellStyle name="Normal 5 29 2" xfId="40460"/>
    <cellStyle name="Normal 5 3" xfId="83"/>
    <cellStyle name="Normal 5 3 10" xfId="6718"/>
    <cellStyle name="Normal 5 3 10 2" xfId="29493"/>
    <cellStyle name="Normal 5 3 11" xfId="7374"/>
    <cellStyle name="Normal 5 3 11 2" xfId="30149"/>
    <cellStyle name="Normal 5 3 12" xfId="8030"/>
    <cellStyle name="Normal 5 3 12 2" xfId="30805"/>
    <cellStyle name="Normal 5 3 13" xfId="8686"/>
    <cellStyle name="Normal 5 3 13 2" xfId="31461"/>
    <cellStyle name="Normal 5 3 14" xfId="9342"/>
    <cellStyle name="Normal 5 3 14 2" xfId="32117"/>
    <cellStyle name="Normal 5 3 15" xfId="9998"/>
    <cellStyle name="Normal 5 3 15 2" xfId="32773"/>
    <cellStyle name="Normal 5 3 16" xfId="10654"/>
    <cellStyle name="Normal 5 3 16 2" xfId="33429"/>
    <cellStyle name="Normal 5 3 17" xfId="11310"/>
    <cellStyle name="Normal 5 3 17 2" xfId="34085"/>
    <cellStyle name="Normal 5 3 18" xfId="11966"/>
    <cellStyle name="Normal 5 3 18 2" xfId="34741"/>
    <cellStyle name="Normal 5 3 19" xfId="12622"/>
    <cellStyle name="Normal 5 3 19 2" xfId="35397"/>
    <cellStyle name="Normal 5 3 2" xfId="814"/>
    <cellStyle name="Normal 5 3 2 10" xfId="8358"/>
    <cellStyle name="Normal 5 3 2 10 2" xfId="31133"/>
    <cellStyle name="Normal 5 3 2 11" xfId="9014"/>
    <cellStyle name="Normal 5 3 2 11 2" xfId="31789"/>
    <cellStyle name="Normal 5 3 2 12" xfId="9670"/>
    <cellStyle name="Normal 5 3 2 12 2" xfId="32445"/>
    <cellStyle name="Normal 5 3 2 13" xfId="10326"/>
    <cellStyle name="Normal 5 3 2 13 2" xfId="33101"/>
    <cellStyle name="Normal 5 3 2 14" xfId="10982"/>
    <cellStyle name="Normal 5 3 2 14 2" xfId="33757"/>
    <cellStyle name="Normal 5 3 2 15" xfId="11638"/>
    <cellStyle name="Normal 5 3 2 15 2" xfId="34413"/>
    <cellStyle name="Normal 5 3 2 16" xfId="12294"/>
    <cellStyle name="Normal 5 3 2 16 2" xfId="35069"/>
    <cellStyle name="Normal 5 3 2 17" xfId="12950"/>
    <cellStyle name="Normal 5 3 2 17 2" xfId="35725"/>
    <cellStyle name="Normal 5 3 2 18" xfId="13606"/>
    <cellStyle name="Normal 5 3 2 18 2" xfId="36381"/>
    <cellStyle name="Normal 5 3 2 19" xfId="14262"/>
    <cellStyle name="Normal 5 3 2 19 2" xfId="37037"/>
    <cellStyle name="Normal 5 3 2 2" xfId="1470"/>
    <cellStyle name="Normal 5 3 2 2 2" xfId="3766"/>
    <cellStyle name="Normal 5 3 2 2 2 2" xfId="26541"/>
    <cellStyle name="Normal 5 3 2 2 3" xfId="24245"/>
    <cellStyle name="Normal 5 3 2 20" xfId="14918"/>
    <cellStyle name="Normal 5 3 2 20 2" xfId="37693"/>
    <cellStyle name="Normal 5 3 2 21" xfId="15574"/>
    <cellStyle name="Normal 5 3 2 21 2" xfId="38349"/>
    <cellStyle name="Normal 5 3 2 22" xfId="16230"/>
    <cellStyle name="Normal 5 3 2 22 2" xfId="39005"/>
    <cellStyle name="Normal 5 3 2 23" xfId="16886"/>
    <cellStyle name="Normal 5 3 2 23 2" xfId="39661"/>
    <cellStyle name="Normal 5 3 2 24" xfId="17542"/>
    <cellStyle name="Normal 5 3 2 24 2" xfId="40317"/>
    <cellStyle name="Normal 5 3 2 25" xfId="18198"/>
    <cellStyle name="Normal 5 3 2 25 2" xfId="40973"/>
    <cellStyle name="Normal 5 3 2 26" xfId="18854"/>
    <cellStyle name="Normal 5 3 2 26 2" xfId="41629"/>
    <cellStyle name="Normal 5 3 2 27" xfId="19510"/>
    <cellStyle name="Normal 5 3 2 27 2" xfId="42285"/>
    <cellStyle name="Normal 5 3 2 28" xfId="20166"/>
    <cellStyle name="Normal 5 3 2 28 2" xfId="42941"/>
    <cellStyle name="Normal 5 3 2 29" xfId="20822"/>
    <cellStyle name="Normal 5 3 2 29 2" xfId="43597"/>
    <cellStyle name="Normal 5 3 2 3" xfId="2126"/>
    <cellStyle name="Normal 5 3 2 3 2" xfId="4422"/>
    <cellStyle name="Normal 5 3 2 3 2 2" xfId="27197"/>
    <cellStyle name="Normal 5 3 2 3 3" xfId="24901"/>
    <cellStyle name="Normal 5 3 2 30" xfId="21478"/>
    <cellStyle name="Normal 5 3 2 30 2" xfId="44253"/>
    <cellStyle name="Normal 5 3 2 31" xfId="22134"/>
    <cellStyle name="Normal 5 3 2 31 2" xfId="44909"/>
    <cellStyle name="Normal 5 3 2 32" xfId="22790"/>
    <cellStyle name="Normal 5 3 2 32 2" xfId="45565"/>
    <cellStyle name="Normal 5 3 2 33" xfId="23589"/>
    <cellStyle name="Normal 5 3 2 4" xfId="5078"/>
    <cellStyle name="Normal 5 3 2 4 2" xfId="27853"/>
    <cellStyle name="Normal 5 3 2 5" xfId="5734"/>
    <cellStyle name="Normal 5 3 2 5 2" xfId="28509"/>
    <cellStyle name="Normal 5 3 2 6" xfId="6390"/>
    <cellStyle name="Normal 5 3 2 6 2" xfId="29165"/>
    <cellStyle name="Normal 5 3 2 7" xfId="3110"/>
    <cellStyle name="Normal 5 3 2 7 2" xfId="25885"/>
    <cellStyle name="Normal 5 3 2 8" xfId="7046"/>
    <cellStyle name="Normal 5 3 2 8 2" xfId="29821"/>
    <cellStyle name="Normal 5 3 2 9" xfId="7702"/>
    <cellStyle name="Normal 5 3 2 9 2" xfId="30477"/>
    <cellStyle name="Normal 5 3 20" xfId="13278"/>
    <cellStyle name="Normal 5 3 20 2" xfId="36053"/>
    <cellStyle name="Normal 5 3 21" xfId="13934"/>
    <cellStyle name="Normal 5 3 21 2" xfId="36709"/>
    <cellStyle name="Normal 5 3 22" xfId="14590"/>
    <cellStyle name="Normal 5 3 22 2" xfId="37365"/>
    <cellStyle name="Normal 5 3 23" xfId="15246"/>
    <cellStyle name="Normal 5 3 23 2" xfId="38021"/>
    <cellStyle name="Normal 5 3 24" xfId="15902"/>
    <cellStyle name="Normal 5 3 24 2" xfId="38677"/>
    <cellStyle name="Normal 5 3 25" xfId="16558"/>
    <cellStyle name="Normal 5 3 25 2" xfId="39333"/>
    <cellStyle name="Normal 5 3 26" xfId="17214"/>
    <cellStyle name="Normal 5 3 26 2" xfId="39989"/>
    <cellStyle name="Normal 5 3 27" xfId="17870"/>
    <cellStyle name="Normal 5 3 27 2" xfId="40645"/>
    <cellStyle name="Normal 5 3 28" xfId="18526"/>
    <cellStyle name="Normal 5 3 28 2" xfId="41301"/>
    <cellStyle name="Normal 5 3 29" xfId="19182"/>
    <cellStyle name="Normal 5 3 29 2" xfId="41957"/>
    <cellStyle name="Normal 5 3 3" xfId="1142"/>
    <cellStyle name="Normal 5 3 3 2" xfId="2782"/>
    <cellStyle name="Normal 5 3 3 2 2" xfId="25557"/>
    <cellStyle name="Normal 5 3 3 3" xfId="23917"/>
    <cellStyle name="Normal 5 3 30" xfId="19838"/>
    <cellStyle name="Normal 5 3 30 2" xfId="42613"/>
    <cellStyle name="Normal 5 3 31" xfId="20494"/>
    <cellStyle name="Normal 5 3 31 2" xfId="43269"/>
    <cellStyle name="Normal 5 3 32" xfId="21150"/>
    <cellStyle name="Normal 5 3 32 2" xfId="43925"/>
    <cellStyle name="Normal 5 3 33" xfId="21806"/>
    <cellStyle name="Normal 5 3 33 2" xfId="44581"/>
    <cellStyle name="Normal 5 3 34" xfId="22462"/>
    <cellStyle name="Normal 5 3 34 2" xfId="45237"/>
    <cellStyle name="Normal 5 3 35" xfId="23261"/>
    <cellStyle name="Normal 5 3 4" xfId="1798"/>
    <cellStyle name="Normal 5 3 4 2" xfId="3438"/>
    <cellStyle name="Normal 5 3 4 2 2" xfId="26213"/>
    <cellStyle name="Normal 5 3 4 3" xfId="24573"/>
    <cellStyle name="Normal 5 3 5" xfId="4094"/>
    <cellStyle name="Normal 5 3 5 2" xfId="26869"/>
    <cellStyle name="Normal 5 3 6" xfId="4750"/>
    <cellStyle name="Normal 5 3 6 2" xfId="27525"/>
    <cellStyle name="Normal 5 3 7" xfId="5406"/>
    <cellStyle name="Normal 5 3 7 2" xfId="28181"/>
    <cellStyle name="Normal 5 3 8" xfId="6062"/>
    <cellStyle name="Normal 5 3 8 2" xfId="28837"/>
    <cellStyle name="Normal 5 3 9" xfId="2454"/>
    <cellStyle name="Normal 5 3 9 2" xfId="25229"/>
    <cellStyle name="Normal 5 30" xfId="18341"/>
    <cellStyle name="Normal 5 30 2" xfId="41116"/>
    <cellStyle name="Normal 5 31" xfId="18997"/>
    <cellStyle name="Normal 5 31 2" xfId="41772"/>
    <cellStyle name="Normal 5 32" xfId="19653"/>
    <cellStyle name="Normal 5 32 2" xfId="42428"/>
    <cellStyle name="Normal 5 33" xfId="20309"/>
    <cellStyle name="Normal 5 33 2" xfId="43084"/>
    <cellStyle name="Normal 5 34" xfId="20965"/>
    <cellStyle name="Normal 5 34 2" xfId="43740"/>
    <cellStyle name="Normal 5 35" xfId="21621"/>
    <cellStyle name="Normal 5 35 2" xfId="44396"/>
    <cellStyle name="Normal 5 36" xfId="22277"/>
    <cellStyle name="Normal 5 36 2" xfId="45052"/>
    <cellStyle name="Normal 5 37" xfId="216"/>
    <cellStyle name="Normal 5 38" xfId="22933"/>
    <cellStyle name="Normal 5 4" xfId="629"/>
    <cellStyle name="Normal 5 4 10" xfId="8173"/>
    <cellStyle name="Normal 5 4 10 2" xfId="30948"/>
    <cellStyle name="Normal 5 4 11" xfId="8829"/>
    <cellStyle name="Normal 5 4 11 2" xfId="31604"/>
    <cellStyle name="Normal 5 4 12" xfId="9485"/>
    <cellStyle name="Normal 5 4 12 2" xfId="32260"/>
    <cellStyle name="Normal 5 4 13" xfId="10141"/>
    <cellStyle name="Normal 5 4 13 2" xfId="32916"/>
    <cellStyle name="Normal 5 4 14" xfId="10797"/>
    <cellStyle name="Normal 5 4 14 2" xfId="33572"/>
    <cellStyle name="Normal 5 4 15" xfId="11453"/>
    <cellStyle name="Normal 5 4 15 2" xfId="34228"/>
    <cellStyle name="Normal 5 4 16" xfId="12109"/>
    <cellStyle name="Normal 5 4 16 2" xfId="34884"/>
    <cellStyle name="Normal 5 4 17" xfId="12765"/>
    <cellStyle name="Normal 5 4 17 2" xfId="35540"/>
    <cellStyle name="Normal 5 4 18" xfId="13421"/>
    <cellStyle name="Normal 5 4 18 2" xfId="36196"/>
    <cellStyle name="Normal 5 4 19" xfId="14077"/>
    <cellStyle name="Normal 5 4 19 2" xfId="36852"/>
    <cellStyle name="Normal 5 4 2" xfId="1285"/>
    <cellStyle name="Normal 5 4 2 2" xfId="3581"/>
    <cellStyle name="Normal 5 4 2 2 2" xfId="26356"/>
    <cellStyle name="Normal 5 4 2 3" xfId="24060"/>
    <cellStyle name="Normal 5 4 20" xfId="14733"/>
    <cellStyle name="Normal 5 4 20 2" xfId="37508"/>
    <cellStyle name="Normal 5 4 21" xfId="15389"/>
    <cellStyle name="Normal 5 4 21 2" xfId="38164"/>
    <cellStyle name="Normal 5 4 22" xfId="16045"/>
    <cellStyle name="Normal 5 4 22 2" xfId="38820"/>
    <cellStyle name="Normal 5 4 23" xfId="16701"/>
    <cellStyle name="Normal 5 4 23 2" xfId="39476"/>
    <cellStyle name="Normal 5 4 24" xfId="17357"/>
    <cellStyle name="Normal 5 4 24 2" xfId="40132"/>
    <cellStyle name="Normal 5 4 25" xfId="18013"/>
    <cellStyle name="Normal 5 4 25 2" xfId="40788"/>
    <cellStyle name="Normal 5 4 26" xfId="18669"/>
    <cellStyle name="Normal 5 4 26 2" xfId="41444"/>
    <cellStyle name="Normal 5 4 27" xfId="19325"/>
    <cellStyle name="Normal 5 4 27 2" xfId="42100"/>
    <cellStyle name="Normal 5 4 28" xfId="19981"/>
    <cellStyle name="Normal 5 4 28 2" xfId="42756"/>
    <cellStyle name="Normal 5 4 29" xfId="20637"/>
    <cellStyle name="Normal 5 4 29 2" xfId="43412"/>
    <cellStyle name="Normal 5 4 3" xfId="1941"/>
    <cellStyle name="Normal 5 4 3 2" xfId="4237"/>
    <cellStyle name="Normal 5 4 3 2 2" xfId="27012"/>
    <cellStyle name="Normal 5 4 3 3" xfId="24716"/>
    <cellStyle name="Normal 5 4 30" xfId="21293"/>
    <cellStyle name="Normal 5 4 30 2" xfId="44068"/>
    <cellStyle name="Normal 5 4 31" xfId="21949"/>
    <cellStyle name="Normal 5 4 31 2" xfId="44724"/>
    <cellStyle name="Normal 5 4 32" xfId="22605"/>
    <cellStyle name="Normal 5 4 32 2" xfId="45380"/>
    <cellStyle name="Normal 5 4 33" xfId="23404"/>
    <cellStyle name="Normal 5 4 4" xfId="4893"/>
    <cellStyle name="Normal 5 4 4 2" xfId="27668"/>
    <cellStyle name="Normal 5 4 5" xfId="5549"/>
    <cellStyle name="Normal 5 4 5 2" xfId="28324"/>
    <cellStyle name="Normal 5 4 6" xfId="6205"/>
    <cellStyle name="Normal 5 4 6 2" xfId="28980"/>
    <cellStyle name="Normal 5 4 7" xfId="2925"/>
    <cellStyle name="Normal 5 4 7 2" xfId="25700"/>
    <cellStyle name="Normal 5 4 8" xfId="6861"/>
    <cellStyle name="Normal 5 4 8 2" xfId="29636"/>
    <cellStyle name="Normal 5 4 9" xfId="7517"/>
    <cellStyle name="Normal 5 4 9 2" xfId="30292"/>
    <cellStyle name="Normal 5 5" xfId="302"/>
    <cellStyle name="Normal 5 5 2" xfId="2597"/>
    <cellStyle name="Normal 5 5 2 2" xfId="25372"/>
    <cellStyle name="Normal 5 5 3" xfId="23076"/>
    <cellStyle name="Normal 5 6" xfId="957"/>
    <cellStyle name="Normal 5 6 2" xfId="3253"/>
    <cellStyle name="Normal 5 6 2 2" xfId="26028"/>
    <cellStyle name="Normal 5 6 3" xfId="23732"/>
    <cellStyle name="Normal 5 7" xfId="1613"/>
    <cellStyle name="Normal 5 7 2" xfId="3909"/>
    <cellStyle name="Normal 5 7 2 2" xfId="26684"/>
    <cellStyle name="Normal 5 7 3" xfId="24388"/>
    <cellStyle name="Normal 5 8" xfId="4565"/>
    <cellStyle name="Normal 5 8 2" xfId="27340"/>
    <cellStyle name="Normal 5 9" xfId="5221"/>
    <cellStyle name="Normal 5 9 2" xfId="27996"/>
    <cellStyle name="Normal 6" xfId="85"/>
    <cellStyle name="Normal 6 10" xfId="5891"/>
    <cellStyle name="Normal 6 10 2" xfId="28666"/>
    <cellStyle name="Normal 6 11" xfId="2283"/>
    <cellStyle name="Normal 6 11 2" xfId="25058"/>
    <cellStyle name="Normal 6 12" xfId="6547"/>
    <cellStyle name="Normal 6 12 2" xfId="29322"/>
    <cellStyle name="Normal 6 13" xfId="7203"/>
    <cellStyle name="Normal 6 13 2" xfId="29978"/>
    <cellStyle name="Normal 6 14" xfId="7859"/>
    <cellStyle name="Normal 6 14 2" xfId="30634"/>
    <cellStyle name="Normal 6 15" xfId="8515"/>
    <cellStyle name="Normal 6 15 2" xfId="31290"/>
    <cellStyle name="Normal 6 16" xfId="9171"/>
    <cellStyle name="Normal 6 16 2" xfId="31946"/>
    <cellStyle name="Normal 6 17" xfId="9827"/>
    <cellStyle name="Normal 6 17 2" xfId="32602"/>
    <cellStyle name="Normal 6 18" xfId="10483"/>
    <cellStyle name="Normal 6 18 2" xfId="33258"/>
    <cellStyle name="Normal 6 19" xfId="11139"/>
    <cellStyle name="Normal 6 19 2" xfId="33914"/>
    <cellStyle name="Normal 6 2" xfId="170"/>
    <cellStyle name="Normal 6 2 10" xfId="2368"/>
    <cellStyle name="Normal 6 2 10 2" xfId="25143"/>
    <cellStyle name="Normal 6 2 11" xfId="6632"/>
    <cellStyle name="Normal 6 2 11 2" xfId="29407"/>
    <cellStyle name="Normal 6 2 12" xfId="7288"/>
    <cellStyle name="Normal 6 2 12 2" xfId="30063"/>
    <cellStyle name="Normal 6 2 13" xfId="7944"/>
    <cellStyle name="Normal 6 2 13 2" xfId="30719"/>
    <cellStyle name="Normal 6 2 14" xfId="8600"/>
    <cellStyle name="Normal 6 2 14 2" xfId="31375"/>
    <cellStyle name="Normal 6 2 15" xfId="9256"/>
    <cellStyle name="Normal 6 2 15 2" xfId="32031"/>
    <cellStyle name="Normal 6 2 16" xfId="9912"/>
    <cellStyle name="Normal 6 2 16 2" xfId="32687"/>
    <cellStyle name="Normal 6 2 17" xfId="10568"/>
    <cellStyle name="Normal 6 2 17 2" xfId="33343"/>
    <cellStyle name="Normal 6 2 18" xfId="11224"/>
    <cellStyle name="Normal 6 2 18 2" xfId="33999"/>
    <cellStyle name="Normal 6 2 19" xfId="11880"/>
    <cellStyle name="Normal 6 2 19 2" xfId="34655"/>
    <cellStyle name="Normal 6 2 2" xfId="584"/>
    <cellStyle name="Normal 6 2 2 10" xfId="6817"/>
    <cellStyle name="Normal 6 2 2 10 2" xfId="29592"/>
    <cellStyle name="Normal 6 2 2 11" xfId="7473"/>
    <cellStyle name="Normal 6 2 2 11 2" xfId="30248"/>
    <cellStyle name="Normal 6 2 2 12" xfId="8129"/>
    <cellStyle name="Normal 6 2 2 12 2" xfId="30904"/>
    <cellStyle name="Normal 6 2 2 13" xfId="8785"/>
    <cellStyle name="Normal 6 2 2 13 2" xfId="31560"/>
    <cellStyle name="Normal 6 2 2 14" xfId="9441"/>
    <cellStyle name="Normal 6 2 2 14 2" xfId="32216"/>
    <cellStyle name="Normal 6 2 2 15" xfId="10097"/>
    <cellStyle name="Normal 6 2 2 15 2" xfId="32872"/>
    <cellStyle name="Normal 6 2 2 16" xfId="10753"/>
    <cellStyle name="Normal 6 2 2 16 2" xfId="33528"/>
    <cellStyle name="Normal 6 2 2 17" xfId="11409"/>
    <cellStyle name="Normal 6 2 2 17 2" xfId="34184"/>
    <cellStyle name="Normal 6 2 2 18" xfId="12065"/>
    <cellStyle name="Normal 6 2 2 18 2" xfId="34840"/>
    <cellStyle name="Normal 6 2 2 19" xfId="12721"/>
    <cellStyle name="Normal 6 2 2 19 2" xfId="35496"/>
    <cellStyle name="Normal 6 2 2 2" xfId="913"/>
    <cellStyle name="Normal 6 2 2 2 10" xfId="8457"/>
    <cellStyle name="Normal 6 2 2 2 10 2" xfId="31232"/>
    <cellStyle name="Normal 6 2 2 2 11" xfId="9113"/>
    <cellStyle name="Normal 6 2 2 2 11 2" xfId="31888"/>
    <cellStyle name="Normal 6 2 2 2 12" xfId="9769"/>
    <cellStyle name="Normal 6 2 2 2 12 2" xfId="32544"/>
    <cellStyle name="Normal 6 2 2 2 13" xfId="10425"/>
    <cellStyle name="Normal 6 2 2 2 13 2" xfId="33200"/>
    <cellStyle name="Normal 6 2 2 2 14" xfId="11081"/>
    <cellStyle name="Normal 6 2 2 2 14 2" xfId="33856"/>
    <cellStyle name="Normal 6 2 2 2 15" xfId="11737"/>
    <cellStyle name="Normal 6 2 2 2 15 2" xfId="34512"/>
    <cellStyle name="Normal 6 2 2 2 16" xfId="12393"/>
    <cellStyle name="Normal 6 2 2 2 16 2" xfId="35168"/>
    <cellStyle name="Normal 6 2 2 2 17" xfId="13049"/>
    <cellStyle name="Normal 6 2 2 2 17 2" xfId="35824"/>
    <cellStyle name="Normal 6 2 2 2 18" xfId="13705"/>
    <cellStyle name="Normal 6 2 2 2 18 2" xfId="36480"/>
    <cellStyle name="Normal 6 2 2 2 19" xfId="14361"/>
    <cellStyle name="Normal 6 2 2 2 19 2" xfId="37136"/>
    <cellStyle name="Normal 6 2 2 2 2" xfId="1569"/>
    <cellStyle name="Normal 6 2 2 2 2 2" xfId="3865"/>
    <cellStyle name="Normal 6 2 2 2 2 2 2" xfId="26640"/>
    <cellStyle name="Normal 6 2 2 2 2 3" xfId="24344"/>
    <cellStyle name="Normal 6 2 2 2 20" xfId="15017"/>
    <cellStyle name="Normal 6 2 2 2 20 2" xfId="37792"/>
    <cellStyle name="Normal 6 2 2 2 21" xfId="15673"/>
    <cellStyle name="Normal 6 2 2 2 21 2" xfId="38448"/>
    <cellStyle name="Normal 6 2 2 2 22" xfId="16329"/>
    <cellStyle name="Normal 6 2 2 2 22 2" xfId="39104"/>
    <cellStyle name="Normal 6 2 2 2 23" xfId="16985"/>
    <cellStyle name="Normal 6 2 2 2 23 2" xfId="39760"/>
    <cellStyle name="Normal 6 2 2 2 24" xfId="17641"/>
    <cellStyle name="Normal 6 2 2 2 24 2" xfId="40416"/>
    <cellStyle name="Normal 6 2 2 2 25" xfId="18297"/>
    <cellStyle name="Normal 6 2 2 2 25 2" xfId="41072"/>
    <cellStyle name="Normal 6 2 2 2 26" xfId="18953"/>
    <cellStyle name="Normal 6 2 2 2 26 2" xfId="41728"/>
    <cellStyle name="Normal 6 2 2 2 27" xfId="19609"/>
    <cellStyle name="Normal 6 2 2 2 27 2" xfId="42384"/>
    <cellStyle name="Normal 6 2 2 2 28" xfId="20265"/>
    <cellStyle name="Normal 6 2 2 2 28 2" xfId="43040"/>
    <cellStyle name="Normal 6 2 2 2 29" xfId="20921"/>
    <cellStyle name="Normal 6 2 2 2 29 2" xfId="43696"/>
    <cellStyle name="Normal 6 2 2 2 3" xfId="2225"/>
    <cellStyle name="Normal 6 2 2 2 3 2" xfId="4521"/>
    <cellStyle name="Normal 6 2 2 2 3 2 2" xfId="27296"/>
    <cellStyle name="Normal 6 2 2 2 3 3" xfId="25000"/>
    <cellStyle name="Normal 6 2 2 2 30" xfId="21577"/>
    <cellStyle name="Normal 6 2 2 2 30 2" xfId="44352"/>
    <cellStyle name="Normal 6 2 2 2 31" xfId="22233"/>
    <cellStyle name="Normal 6 2 2 2 31 2" xfId="45008"/>
    <cellStyle name="Normal 6 2 2 2 32" xfId="22889"/>
    <cellStyle name="Normal 6 2 2 2 32 2" xfId="45664"/>
    <cellStyle name="Normal 6 2 2 2 33" xfId="23688"/>
    <cellStyle name="Normal 6 2 2 2 4" xfId="5177"/>
    <cellStyle name="Normal 6 2 2 2 4 2" xfId="27952"/>
    <cellStyle name="Normal 6 2 2 2 5" xfId="5833"/>
    <cellStyle name="Normal 6 2 2 2 5 2" xfId="28608"/>
    <cellStyle name="Normal 6 2 2 2 6" xfId="6489"/>
    <cellStyle name="Normal 6 2 2 2 6 2" xfId="29264"/>
    <cellStyle name="Normal 6 2 2 2 7" xfId="3209"/>
    <cellStyle name="Normal 6 2 2 2 7 2" xfId="25984"/>
    <cellStyle name="Normal 6 2 2 2 8" xfId="7145"/>
    <cellStyle name="Normal 6 2 2 2 8 2" xfId="29920"/>
    <cellStyle name="Normal 6 2 2 2 9" xfId="7801"/>
    <cellStyle name="Normal 6 2 2 2 9 2" xfId="30576"/>
    <cellStyle name="Normal 6 2 2 20" xfId="13377"/>
    <cellStyle name="Normal 6 2 2 20 2" xfId="36152"/>
    <cellStyle name="Normal 6 2 2 21" xfId="14033"/>
    <cellStyle name="Normal 6 2 2 21 2" xfId="36808"/>
    <cellStyle name="Normal 6 2 2 22" xfId="14689"/>
    <cellStyle name="Normal 6 2 2 22 2" xfId="37464"/>
    <cellStyle name="Normal 6 2 2 23" xfId="15345"/>
    <cellStyle name="Normal 6 2 2 23 2" xfId="38120"/>
    <cellStyle name="Normal 6 2 2 24" xfId="16001"/>
    <cellStyle name="Normal 6 2 2 24 2" xfId="38776"/>
    <cellStyle name="Normal 6 2 2 25" xfId="16657"/>
    <cellStyle name="Normal 6 2 2 25 2" xfId="39432"/>
    <cellStyle name="Normal 6 2 2 26" xfId="17313"/>
    <cellStyle name="Normal 6 2 2 26 2" xfId="40088"/>
    <cellStyle name="Normal 6 2 2 27" xfId="17969"/>
    <cellStyle name="Normal 6 2 2 27 2" xfId="40744"/>
    <cellStyle name="Normal 6 2 2 28" xfId="18625"/>
    <cellStyle name="Normal 6 2 2 28 2" xfId="41400"/>
    <cellStyle name="Normal 6 2 2 29" xfId="19281"/>
    <cellStyle name="Normal 6 2 2 29 2" xfId="42056"/>
    <cellStyle name="Normal 6 2 2 3" xfId="1241"/>
    <cellStyle name="Normal 6 2 2 3 2" xfId="2881"/>
    <cellStyle name="Normal 6 2 2 3 2 2" xfId="25656"/>
    <cellStyle name="Normal 6 2 2 3 3" xfId="24016"/>
    <cellStyle name="Normal 6 2 2 30" xfId="19937"/>
    <cellStyle name="Normal 6 2 2 30 2" xfId="42712"/>
    <cellStyle name="Normal 6 2 2 31" xfId="20593"/>
    <cellStyle name="Normal 6 2 2 31 2" xfId="43368"/>
    <cellStyle name="Normal 6 2 2 32" xfId="21249"/>
    <cellStyle name="Normal 6 2 2 32 2" xfId="44024"/>
    <cellStyle name="Normal 6 2 2 33" xfId="21905"/>
    <cellStyle name="Normal 6 2 2 33 2" xfId="44680"/>
    <cellStyle name="Normal 6 2 2 34" xfId="22561"/>
    <cellStyle name="Normal 6 2 2 34 2" xfId="45336"/>
    <cellStyle name="Normal 6 2 2 35" xfId="23360"/>
    <cellStyle name="Normal 6 2 2 4" xfId="1897"/>
    <cellStyle name="Normal 6 2 2 4 2" xfId="3537"/>
    <cellStyle name="Normal 6 2 2 4 2 2" xfId="26312"/>
    <cellStyle name="Normal 6 2 2 4 3" xfId="24672"/>
    <cellStyle name="Normal 6 2 2 5" xfId="4193"/>
    <cellStyle name="Normal 6 2 2 5 2" xfId="26968"/>
    <cellStyle name="Normal 6 2 2 6" xfId="4849"/>
    <cellStyle name="Normal 6 2 2 6 2" xfId="27624"/>
    <cellStyle name="Normal 6 2 2 7" xfId="5505"/>
    <cellStyle name="Normal 6 2 2 7 2" xfId="28280"/>
    <cellStyle name="Normal 6 2 2 8" xfId="6161"/>
    <cellStyle name="Normal 6 2 2 8 2" xfId="28936"/>
    <cellStyle name="Normal 6 2 2 9" xfId="2553"/>
    <cellStyle name="Normal 6 2 2 9 2" xfId="25328"/>
    <cellStyle name="Normal 6 2 20" xfId="12536"/>
    <cellStyle name="Normal 6 2 20 2" xfId="35311"/>
    <cellStyle name="Normal 6 2 21" xfId="13192"/>
    <cellStyle name="Normal 6 2 21 2" xfId="35967"/>
    <cellStyle name="Normal 6 2 22" xfId="13848"/>
    <cellStyle name="Normal 6 2 22 2" xfId="36623"/>
    <cellStyle name="Normal 6 2 23" xfId="14504"/>
    <cellStyle name="Normal 6 2 23 2" xfId="37279"/>
    <cellStyle name="Normal 6 2 24" xfId="15160"/>
    <cellStyle name="Normal 6 2 24 2" xfId="37935"/>
    <cellStyle name="Normal 6 2 25" xfId="15816"/>
    <cellStyle name="Normal 6 2 25 2" xfId="38591"/>
    <cellStyle name="Normal 6 2 26" xfId="16472"/>
    <cellStyle name="Normal 6 2 26 2" xfId="39247"/>
    <cellStyle name="Normal 6 2 27" xfId="17128"/>
    <cellStyle name="Normal 6 2 27 2" xfId="39903"/>
    <cellStyle name="Normal 6 2 28" xfId="17784"/>
    <cellStyle name="Normal 6 2 28 2" xfId="40559"/>
    <cellStyle name="Normal 6 2 29" xfId="18440"/>
    <cellStyle name="Normal 6 2 29 2" xfId="41215"/>
    <cellStyle name="Normal 6 2 3" xfId="728"/>
    <cellStyle name="Normal 6 2 3 10" xfId="8272"/>
    <cellStyle name="Normal 6 2 3 10 2" xfId="31047"/>
    <cellStyle name="Normal 6 2 3 11" xfId="8928"/>
    <cellStyle name="Normal 6 2 3 11 2" xfId="31703"/>
    <cellStyle name="Normal 6 2 3 12" xfId="9584"/>
    <cellStyle name="Normal 6 2 3 12 2" xfId="32359"/>
    <cellStyle name="Normal 6 2 3 13" xfId="10240"/>
    <cellStyle name="Normal 6 2 3 13 2" xfId="33015"/>
    <cellStyle name="Normal 6 2 3 14" xfId="10896"/>
    <cellStyle name="Normal 6 2 3 14 2" xfId="33671"/>
    <cellStyle name="Normal 6 2 3 15" xfId="11552"/>
    <cellStyle name="Normal 6 2 3 15 2" xfId="34327"/>
    <cellStyle name="Normal 6 2 3 16" xfId="12208"/>
    <cellStyle name="Normal 6 2 3 16 2" xfId="34983"/>
    <cellStyle name="Normal 6 2 3 17" xfId="12864"/>
    <cellStyle name="Normal 6 2 3 17 2" xfId="35639"/>
    <cellStyle name="Normal 6 2 3 18" xfId="13520"/>
    <cellStyle name="Normal 6 2 3 18 2" xfId="36295"/>
    <cellStyle name="Normal 6 2 3 19" xfId="14176"/>
    <cellStyle name="Normal 6 2 3 19 2" xfId="36951"/>
    <cellStyle name="Normal 6 2 3 2" xfId="1384"/>
    <cellStyle name="Normal 6 2 3 2 2" xfId="3680"/>
    <cellStyle name="Normal 6 2 3 2 2 2" xfId="26455"/>
    <cellStyle name="Normal 6 2 3 2 3" xfId="24159"/>
    <cellStyle name="Normal 6 2 3 20" xfId="14832"/>
    <cellStyle name="Normal 6 2 3 20 2" xfId="37607"/>
    <cellStyle name="Normal 6 2 3 21" xfId="15488"/>
    <cellStyle name="Normal 6 2 3 21 2" xfId="38263"/>
    <cellStyle name="Normal 6 2 3 22" xfId="16144"/>
    <cellStyle name="Normal 6 2 3 22 2" xfId="38919"/>
    <cellStyle name="Normal 6 2 3 23" xfId="16800"/>
    <cellStyle name="Normal 6 2 3 23 2" xfId="39575"/>
    <cellStyle name="Normal 6 2 3 24" xfId="17456"/>
    <cellStyle name="Normal 6 2 3 24 2" xfId="40231"/>
    <cellStyle name="Normal 6 2 3 25" xfId="18112"/>
    <cellStyle name="Normal 6 2 3 25 2" xfId="40887"/>
    <cellStyle name="Normal 6 2 3 26" xfId="18768"/>
    <cellStyle name="Normal 6 2 3 26 2" xfId="41543"/>
    <cellStyle name="Normal 6 2 3 27" xfId="19424"/>
    <cellStyle name="Normal 6 2 3 27 2" xfId="42199"/>
    <cellStyle name="Normal 6 2 3 28" xfId="20080"/>
    <cellStyle name="Normal 6 2 3 28 2" xfId="42855"/>
    <cellStyle name="Normal 6 2 3 29" xfId="20736"/>
    <cellStyle name="Normal 6 2 3 29 2" xfId="43511"/>
    <cellStyle name="Normal 6 2 3 3" xfId="2040"/>
    <cellStyle name="Normal 6 2 3 3 2" xfId="4336"/>
    <cellStyle name="Normal 6 2 3 3 2 2" xfId="27111"/>
    <cellStyle name="Normal 6 2 3 3 3" xfId="24815"/>
    <cellStyle name="Normal 6 2 3 30" xfId="21392"/>
    <cellStyle name="Normal 6 2 3 30 2" xfId="44167"/>
    <cellStyle name="Normal 6 2 3 31" xfId="22048"/>
    <cellStyle name="Normal 6 2 3 31 2" xfId="44823"/>
    <cellStyle name="Normal 6 2 3 32" xfId="22704"/>
    <cellStyle name="Normal 6 2 3 32 2" xfId="45479"/>
    <cellStyle name="Normal 6 2 3 33" xfId="23503"/>
    <cellStyle name="Normal 6 2 3 4" xfId="4992"/>
    <cellStyle name="Normal 6 2 3 4 2" xfId="27767"/>
    <cellStyle name="Normal 6 2 3 5" xfId="5648"/>
    <cellStyle name="Normal 6 2 3 5 2" xfId="28423"/>
    <cellStyle name="Normal 6 2 3 6" xfId="6304"/>
    <cellStyle name="Normal 6 2 3 6 2" xfId="29079"/>
    <cellStyle name="Normal 6 2 3 7" xfId="3024"/>
    <cellStyle name="Normal 6 2 3 7 2" xfId="25799"/>
    <cellStyle name="Normal 6 2 3 8" xfId="6960"/>
    <cellStyle name="Normal 6 2 3 8 2" xfId="29735"/>
    <cellStyle name="Normal 6 2 3 9" xfId="7616"/>
    <cellStyle name="Normal 6 2 3 9 2" xfId="30391"/>
    <cellStyle name="Normal 6 2 30" xfId="19096"/>
    <cellStyle name="Normal 6 2 30 2" xfId="41871"/>
    <cellStyle name="Normal 6 2 31" xfId="19752"/>
    <cellStyle name="Normal 6 2 31 2" xfId="42527"/>
    <cellStyle name="Normal 6 2 32" xfId="20408"/>
    <cellStyle name="Normal 6 2 32 2" xfId="43183"/>
    <cellStyle name="Normal 6 2 33" xfId="21064"/>
    <cellStyle name="Normal 6 2 33 2" xfId="43839"/>
    <cellStyle name="Normal 6 2 34" xfId="21720"/>
    <cellStyle name="Normal 6 2 34 2" xfId="44495"/>
    <cellStyle name="Normal 6 2 35" xfId="22376"/>
    <cellStyle name="Normal 6 2 35 2" xfId="45151"/>
    <cellStyle name="Normal 6 2 36" xfId="23032"/>
    <cellStyle name="Normal 6 2 4" xfId="401"/>
    <cellStyle name="Normal 6 2 4 2" xfId="2696"/>
    <cellStyle name="Normal 6 2 4 2 2" xfId="25471"/>
    <cellStyle name="Normal 6 2 4 3" xfId="23175"/>
    <cellStyle name="Normal 6 2 5" xfId="1056"/>
    <cellStyle name="Normal 6 2 5 2" xfId="3352"/>
    <cellStyle name="Normal 6 2 5 2 2" xfId="26127"/>
    <cellStyle name="Normal 6 2 5 3" xfId="23831"/>
    <cellStyle name="Normal 6 2 6" xfId="1712"/>
    <cellStyle name="Normal 6 2 6 2" xfId="4008"/>
    <cellStyle name="Normal 6 2 6 2 2" xfId="26783"/>
    <cellStyle name="Normal 6 2 6 3" xfId="24487"/>
    <cellStyle name="Normal 6 2 7" xfId="4664"/>
    <cellStyle name="Normal 6 2 7 2" xfId="27439"/>
    <cellStyle name="Normal 6 2 8" xfId="5320"/>
    <cellStyle name="Normal 6 2 8 2" xfId="28095"/>
    <cellStyle name="Normal 6 2 9" xfId="5976"/>
    <cellStyle name="Normal 6 2 9 2" xfId="28751"/>
    <cellStyle name="Normal 6 20" xfId="11795"/>
    <cellStyle name="Normal 6 20 2" xfId="34570"/>
    <cellStyle name="Normal 6 21" xfId="12451"/>
    <cellStyle name="Normal 6 21 2" xfId="35226"/>
    <cellStyle name="Normal 6 22" xfId="13107"/>
    <cellStyle name="Normal 6 22 2" xfId="35882"/>
    <cellStyle name="Normal 6 23" xfId="13763"/>
    <cellStyle name="Normal 6 23 2" xfId="36538"/>
    <cellStyle name="Normal 6 24" xfId="14419"/>
    <cellStyle name="Normal 6 24 2" xfId="37194"/>
    <cellStyle name="Normal 6 25" xfId="15075"/>
    <cellStyle name="Normal 6 25 2" xfId="37850"/>
    <cellStyle name="Normal 6 26" xfId="15731"/>
    <cellStyle name="Normal 6 26 2" xfId="38506"/>
    <cellStyle name="Normal 6 27" xfId="16387"/>
    <cellStyle name="Normal 6 27 2" xfId="39162"/>
    <cellStyle name="Normal 6 28" xfId="17043"/>
    <cellStyle name="Normal 6 28 2" xfId="39818"/>
    <cellStyle name="Normal 6 29" xfId="17699"/>
    <cellStyle name="Normal 6 29 2" xfId="40474"/>
    <cellStyle name="Normal 6 3" xfId="500"/>
    <cellStyle name="Normal 6 3 10" xfId="6732"/>
    <cellStyle name="Normal 6 3 10 2" xfId="29507"/>
    <cellStyle name="Normal 6 3 11" xfId="7388"/>
    <cellStyle name="Normal 6 3 11 2" xfId="30163"/>
    <cellStyle name="Normal 6 3 12" xfId="8044"/>
    <cellStyle name="Normal 6 3 12 2" xfId="30819"/>
    <cellStyle name="Normal 6 3 13" xfId="8700"/>
    <cellStyle name="Normal 6 3 13 2" xfId="31475"/>
    <cellStyle name="Normal 6 3 14" xfId="9356"/>
    <cellStyle name="Normal 6 3 14 2" xfId="32131"/>
    <cellStyle name="Normal 6 3 15" xfId="10012"/>
    <cellStyle name="Normal 6 3 15 2" xfId="32787"/>
    <cellStyle name="Normal 6 3 16" xfId="10668"/>
    <cellStyle name="Normal 6 3 16 2" xfId="33443"/>
    <cellStyle name="Normal 6 3 17" xfId="11324"/>
    <cellStyle name="Normal 6 3 17 2" xfId="34099"/>
    <cellStyle name="Normal 6 3 18" xfId="11980"/>
    <cellStyle name="Normal 6 3 18 2" xfId="34755"/>
    <cellStyle name="Normal 6 3 19" xfId="12636"/>
    <cellStyle name="Normal 6 3 19 2" xfId="35411"/>
    <cellStyle name="Normal 6 3 2" xfId="828"/>
    <cellStyle name="Normal 6 3 2 10" xfId="8372"/>
    <cellStyle name="Normal 6 3 2 10 2" xfId="31147"/>
    <cellStyle name="Normal 6 3 2 11" xfId="9028"/>
    <cellStyle name="Normal 6 3 2 11 2" xfId="31803"/>
    <cellStyle name="Normal 6 3 2 12" xfId="9684"/>
    <cellStyle name="Normal 6 3 2 12 2" xfId="32459"/>
    <cellStyle name="Normal 6 3 2 13" xfId="10340"/>
    <cellStyle name="Normal 6 3 2 13 2" xfId="33115"/>
    <cellStyle name="Normal 6 3 2 14" xfId="10996"/>
    <cellStyle name="Normal 6 3 2 14 2" xfId="33771"/>
    <cellStyle name="Normal 6 3 2 15" xfId="11652"/>
    <cellStyle name="Normal 6 3 2 15 2" xfId="34427"/>
    <cellStyle name="Normal 6 3 2 16" xfId="12308"/>
    <cellStyle name="Normal 6 3 2 16 2" xfId="35083"/>
    <cellStyle name="Normal 6 3 2 17" xfId="12964"/>
    <cellStyle name="Normal 6 3 2 17 2" xfId="35739"/>
    <cellStyle name="Normal 6 3 2 18" xfId="13620"/>
    <cellStyle name="Normal 6 3 2 18 2" xfId="36395"/>
    <cellStyle name="Normal 6 3 2 19" xfId="14276"/>
    <cellStyle name="Normal 6 3 2 19 2" xfId="37051"/>
    <cellStyle name="Normal 6 3 2 2" xfId="1484"/>
    <cellStyle name="Normal 6 3 2 2 2" xfId="3780"/>
    <cellStyle name="Normal 6 3 2 2 2 2" xfId="26555"/>
    <cellStyle name="Normal 6 3 2 2 3" xfId="24259"/>
    <cellStyle name="Normal 6 3 2 20" xfId="14932"/>
    <cellStyle name="Normal 6 3 2 20 2" xfId="37707"/>
    <cellStyle name="Normal 6 3 2 21" xfId="15588"/>
    <cellStyle name="Normal 6 3 2 21 2" xfId="38363"/>
    <cellStyle name="Normal 6 3 2 22" xfId="16244"/>
    <cellStyle name="Normal 6 3 2 22 2" xfId="39019"/>
    <cellStyle name="Normal 6 3 2 23" xfId="16900"/>
    <cellStyle name="Normal 6 3 2 23 2" xfId="39675"/>
    <cellStyle name="Normal 6 3 2 24" xfId="17556"/>
    <cellStyle name="Normal 6 3 2 24 2" xfId="40331"/>
    <cellStyle name="Normal 6 3 2 25" xfId="18212"/>
    <cellStyle name="Normal 6 3 2 25 2" xfId="40987"/>
    <cellStyle name="Normal 6 3 2 26" xfId="18868"/>
    <cellStyle name="Normal 6 3 2 26 2" xfId="41643"/>
    <cellStyle name="Normal 6 3 2 27" xfId="19524"/>
    <cellStyle name="Normal 6 3 2 27 2" xfId="42299"/>
    <cellStyle name="Normal 6 3 2 28" xfId="20180"/>
    <cellStyle name="Normal 6 3 2 28 2" xfId="42955"/>
    <cellStyle name="Normal 6 3 2 29" xfId="20836"/>
    <cellStyle name="Normal 6 3 2 29 2" xfId="43611"/>
    <cellStyle name="Normal 6 3 2 3" xfId="2140"/>
    <cellStyle name="Normal 6 3 2 3 2" xfId="4436"/>
    <cellStyle name="Normal 6 3 2 3 2 2" xfId="27211"/>
    <cellStyle name="Normal 6 3 2 3 3" xfId="24915"/>
    <cellStyle name="Normal 6 3 2 30" xfId="21492"/>
    <cellStyle name="Normal 6 3 2 30 2" xfId="44267"/>
    <cellStyle name="Normal 6 3 2 31" xfId="22148"/>
    <cellStyle name="Normal 6 3 2 31 2" xfId="44923"/>
    <cellStyle name="Normal 6 3 2 32" xfId="22804"/>
    <cellStyle name="Normal 6 3 2 32 2" xfId="45579"/>
    <cellStyle name="Normal 6 3 2 33" xfId="23603"/>
    <cellStyle name="Normal 6 3 2 4" xfId="5092"/>
    <cellStyle name="Normal 6 3 2 4 2" xfId="27867"/>
    <cellStyle name="Normal 6 3 2 5" xfId="5748"/>
    <cellStyle name="Normal 6 3 2 5 2" xfId="28523"/>
    <cellStyle name="Normal 6 3 2 6" xfId="6404"/>
    <cellStyle name="Normal 6 3 2 6 2" xfId="29179"/>
    <cellStyle name="Normal 6 3 2 7" xfId="3124"/>
    <cellStyle name="Normal 6 3 2 7 2" xfId="25899"/>
    <cellStyle name="Normal 6 3 2 8" xfId="7060"/>
    <cellStyle name="Normal 6 3 2 8 2" xfId="29835"/>
    <cellStyle name="Normal 6 3 2 9" xfId="7716"/>
    <cellStyle name="Normal 6 3 2 9 2" xfId="30491"/>
    <cellStyle name="Normal 6 3 20" xfId="13292"/>
    <cellStyle name="Normal 6 3 20 2" xfId="36067"/>
    <cellStyle name="Normal 6 3 21" xfId="13948"/>
    <cellStyle name="Normal 6 3 21 2" xfId="36723"/>
    <cellStyle name="Normal 6 3 22" xfId="14604"/>
    <cellStyle name="Normal 6 3 22 2" xfId="37379"/>
    <cellStyle name="Normal 6 3 23" xfId="15260"/>
    <cellStyle name="Normal 6 3 23 2" xfId="38035"/>
    <cellStyle name="Normal 6 3 24" xfId="15916"/>
    <cellStyle name="Normal 6 3 24 2" xfId="38691"/>
    <cellStyle name="Normal 6 3 25" xfId="16572"/>
    <cellStyle name="Normal 6 3 25 2" xfId="39347"/>
    <cellStyle name="Normal 6 3 26" xfId="17228"/>
    <cellStyle name="Normal 6 3 26 2" xfId="40003"/>
    <cellStyle name="Normal 6 3 27" xfId="17884"/>
    <cellStyle name="Normal 6 3 27 2" xfId="40659"/>
    <cellStyle name="Normal 6 3 28" xfId="18540"/>
    <cellStyle name="Normal 6 3 28 2" xfId="41315"/>
    <cellStyle name="Normal 6 3 29" xfId="19196"/>
    <cellStyle name="Normal 6 3 29 2" xfId="41971"/>
    <cellStyle name="Normal 6 3 3" xfId="1156"/>
    <cellStyle name="Normal 6 3 3 2" xfId="2796"/>
    <cellStyle name="Normal 6 3 3 2 2" xfId="25571"/>
    <cellStyle name="Normal 6 3 3 3" xfId="23931"/>
    <cellStyle name="Normal 6 3 30" xfId="19852"/>
    <cellStyle name="Normal 6 3 30 2" xfId="42627"/>
    <cellStyle name="Normal 6 3 31" xfId="20508"/>
    <cellStyle name="Normal 6 3 31 2" xfId="43283"/>
    <cellStyle name="Normal 6 3 32" xfId="21164"/>
    <cellStyle name="Normal 6 3 32 2" xfId="43939"/>
    <cellStyle name="Normal 6 3 33" xfId="21820"/>
    <cellStyle name="Normal 6 3 33 2" xfId="44595"/>
    <cellStyle name="Normal 6 3 34" xfId="22476"/>
    <cellStyle name="Normal 6 3 34 2" xfId="45251"/>
    <cellStyle name="Normal 6 3 35" xfId="23275"/>
    <cellStyle name="Normal 6 3 4" xfId="1812"/>
    <cellStyle name="Normal 6 3 4 2" xfId="3452"/>
    <cellStyle name="Normal 6 3 4 2 2" xfId="26227"/>
    <cellStyle name="Normal 6 3 4 3" xfId="24587"/>
    <cellStyle name="Normal 6 3 5" xfId="4108"/>
    <cellStyle name="Normal 6 3 5 2" xfId="26883"/>
    <cellStyle name="Normal 6 3 6" xfId="4764"/>
    <cellStyle name="Normal 6 3 6 2" xfId="27539"/>
    <cellStyle name="Normal 6 3 7" xfId="5420"/>
    <cellStyle name="Normal 6 3 7 2" xfId="28195"/>
    <cellStyle name="Normal 6 3 8" xfId="6076"/>
    <cellStyle name="Normal 6 3 8 2" xfId="28851"/>
    <cellStyle name="Normal 6 3 9" xfId="2468"/>
    <cellStyle name="Normal 6 3 9 2" xfId="25243"/>
    <cellStyle name="Normal 6 30" xfId="18355"/>
    <cellStyle name="Normal 6 30 2" xfId="41130"/>
    <cellStyle name="Normal 6 31" xfId="19011"/>
    <cellStyle name="Normal 6 31 2" xfId="41786"/>
    <cellStyle name="Normal 6 32" xfId="19667"/>
    <cellStyle name="Normal 6 32 2" xfId="42442"/>
    <cellStyle name="Normal 6 33" xfId="20323"/>
    <cellStyle name="Normal 6 33 2" xfId="43098"/>
    <cellStyle name="Normal 6 34" xfId="20979"/>
    <cellStyle name="Normal 6 34 2" xfId="43754"/>
    <cellStyle name="Normal 6 35" xfId="21635"/>
    <cellStyle name="Normal 6 35 2" xfId="44410"/>
    <cellStyle name="Normal 6 36" xfId="22291"/>
    <cellStyle name="Normal 6 36 2" xfId="45066"/>
    <cellStyle name="Normal 6 37" xfId="230"/>
    <cellStyle name="Normal 6 38" xfId="22947"/>
    <cellStyle name="Normal 6 4" xfId="643"/>
    <cellStyle name="Normal 6 4 10" xfId="8187"/>
    <cellStyle name="Normal 6 4 10 2" xfId="30962"/>
    <cellStyle name="Normal 6 4 11" xfId="8843"/>
    <cellStyle name="Normal 6 4 11 2" xfId="31618"/>
    <cellStyle name="Normal 6 4 12" xfId="9499"/>
    <cellStyle name="Normal 6 4 12 2" xfId="32274"/>
    <cellStyle name="Normal 6 4 13" xfId="10155"/>
    <cellStyle name="Normal 6 4 13 2" xfId="32930"/>
    <cellStyle name="Normal 6 4 14" xfId="10811"/>
    <cellStyle name="Normal 6 4 14 2" xfId="33586"/>
    <cellStyle name="Normal 6 4 15" xfId="11467"/>
    <cellStyle name="Normal 6 4 15 2" xfId="34242"/>
    <cellStyle name="Normal 6 4 16" xfId="12123"/>
    <cellStyle name="Normal 6 4 16 2" xfId="34898"/>
    <cellStyle name="Normal 6 4 17" xfId="12779"/>
    <cellStyle name="Normal 6 4 17 2" xfId="35554"/>
    <cellStyle name="Normal 6 4 18" xfId="13435"/>
    <cellStyle name="Normal 6 4 18 2" xfId="36210"/>
    <cellStyle name="Normal 6 4 19" xfId="14091"/>
    <cellStyle name="Normal 6 4 19 2" xfId="36866"/>
    <cellStyle name="Normal 6 4 2" xfId="1299"/>
    <cellStyle name="Normal 6 4 2 2" xfId="3595"/>
    <cellStyle name="Normal 6 4 2 2 2" xfId="26370"/>
    <cellStyle name="Normal 6 4 2 3" xfId="24074"/>
    <cellStyle name="Normal 6 4 20" xfId="14747"/>
    <cellStyle name="Normal 6 4 20 2" xfId="37522"/>
    <cellStyle name="Normal 6 4 21" xfId="15403"/>
    <cellStyle name="Normal 6 4 21 2" xfId="38178"/>
    <cellStyle name="Normal 6 4 22" xfId="16059"/>
    <cellStyle name="Normal 6 4 22 2" xfId="38834"/>
    <cellStyle name="Normal 6 4 23" xfId="16715"/>
    <cellStyle name="Normal 6 4 23 2" xfId="39490"/>
    <cellStyle name="Normal 6 4 24" xfId="17371"/>
    <cellStyle name="Normal 6 4 24 2" xfId="40146"/>
    <cellStyle name="Normal 6 4 25" xfId="18027"/>
    <cellStyle name="Normal 6 4 25 2" xfId="40802"/>
    <cellStyle name="Normal 6 4 26" xfId="18683"/>
    <cellStyle name="Normal 6 4 26 2" xfId="41458"/>
    <cellStyle name="Normal 6 4 27" xfId="19339"/>
    <cellStyle name="Normal 6 4 27 2" xfId="42114"/>
    <cellStyle name="Normal 6 4 28" xfId="19995"/>
    <cellStyle name="Normal 6 4 28 2" xfId="42770"/>
    <cellStyle name="Normal 6 4 29" xfId="20651"/>
    <cellStyle name="Normal 6 4 29 2" xfId="43426"/>
    <cellStyle name="Normal 6 4 3" xfId="1955"/>
    <cellStyle name="Normal 6 4 3 2" xfId="4251"/>
    <cellStyle name="Normal 6 4 3 2 2" xfId="27026"/>
    <cellStyle name="Normal 6 4 3 3" xfId="24730"/>
    <cellStyle name="Normal 6 4 30" xfId="21307"/>
    <cellStyle name="Normal 6 4 30 2" xfId="44082"/>
    <cellStyle name="Normal 6 4 31" xfId="21963"/>
    <cellStyle name="Normal 6 4 31 2" xfId="44738"/>
    <cellStyle name="Normal 6 4 32" xfId="22619"/>
    <cellStyle name="Normal 6 4 32 2" xfId="45394"/>
    <cellStyle name="Normal 6 4 33" xfId="23418"/>
    <cellStyle name="Normal 6 4 4" xfId="4907"/>
    <cellStyle name="Normal 6 4 4 2" xfId="27682"/>
    <cellStyle name="Normal 6 4 5" xfId="5563"/>
    <cellStyle name="Normal 6 4 5 2" xfId="28338"/>
    <cellStyle name="Normal 6 4 6" xfId="6219"/>
    <cellStyle name="Normal 6 4 6 2" xfId="28994"/>
    <cellStyle name="Normal 6 4 7" xfId="2939"/>
    <cellStyle name="Normal 6 4 7 2" xfId="25714"/>
    <cellStyle name="Normal 6 4 8" xfId="6875"/>
    <cellStyle name="Normal 6 4 8 2" xfId="29650"/>
    <cellStyle name="Normal 6 4 9" xfId="7531"/>
    <cellStyle name="Normal 6 4 9 2" xfId="30306"/>
    <cellStyle name="Normal 6 5" xfId="316"/>
    <cellStyle name="Normal 6 5 2" xfId="2611"/>
    <cellStyle name="Normal 6 5 2 2" xfId="25386"/>
    <cellStyle name="Normal 6 5 3" xfId="23090"/>
    <cellStyle name="Normal 6 6" xfId="971"/>
    <cellStyle name="Normal 6 6 2" xfId="3267"/>
    <cellStyle name="Normal 6 6 2 2" xfId="26042"/>
    <cellStyle name="Normal 6 6 3" xfId="23746"/>
    <cellStyle name="Normal 6 7" xfId="1627"/>
    <cellStyle name="Normal 6 7 2" xfId="3923"/>
    <cellStyle name="Normal 6 7 2 2" xfId="26698"/>
    <cellStyle name="Normal 6 7 3" xfId="24402"/>
    <cellStyle name="Normal 6 8" xfId="4579"/>
    <cellStyle name="Normal 6 8 2" xfId="27354"/>
    <cellStyle name="Normal 6 9" xfId="5235"/>
    <cellStyle name="Normal 6 9 2" xfId="28010"/>
    <cellStyle name="Normal 7" xfId="99"/>
    <cellStyle name="Normal 7 10" xfId="2297"/>
    <cellStyle name="Normal 7 10 2" xfId="25072"/>
    <cellStyle name="Normal 7 11" xfId="6561"/>
    <cellStyle name="Normal 7 11 2" xfId="29336"/>
    <cellStyle name="Normal 7 12" xfId="7217"/>
    <cellStyle name="Normal 7 12 2" xfId="29992"/>
    <cellStyle name="Normal 7 13" xfId="7873"/>
    <cellStyle name="Normal 7 13 2" xfId="30648"/>
    <cellStyle name="Normal 7 14" xfId="8529"/>
    <cellStyle name="Normal 7 14 2" xfId="31304"/>
    <cellStyle name="Normal 7 15" xfId="9185"/>
    <cellStyle name="Normal 7 15 2" xfId="31960"/>
    <cellStyle name="Normal 7 16" xfId="9841"/>
    <cellStyle name="Normal 7 16 2" xfId="32616"/>
    <cellStyle name="Normal 7 17" xfId="10497"/>
    <cellStyle name="Normal 7 17 2" xfId="33272"/>
    <cellStyle name="Normal 7 18" xfId="11153"/>
    <cellStyle name="Normal 7 18 2" xfId="33928"/>
    <cellStyle name="Normal 7 19" xfId="11809"/>
    <cellStyle name="Normal 7 19 2" xfId="34584"/>
    <cellStyle name="Normal 7 2" xfId="514"/>
    <cellStyle name="Normal 7 2 10" xfId="6746"/>
    <cellStyle name="Normal 7 2 10 2" xfId="29521"/>
    <cellStyle name="Normal 7 2 11" xfId="7402"/>
    <cellStyle name="Normal 7 2 11 2" xfId="30177"/>
    <cellStyle name="Normal 7 2 12" xfId="8058"/>
    <cellStyle name="Normal 7 2 12 2" xfId="30833"/>
    <cellStyle name="Normal 7 2 13" xfId="8714"/>
    <cellStyle name="Normal 7 2 13 2" xfId="31489"/>
    <cellStyle name="Normal 7 2 14" xfId="9370"/>
    <cellStyle name="Normal 7 2 14 2" xfId="32145"/>
    <cellStyle name="Normal 7 2 15" xfId="10026"/>
    <cellStyle name="Normal 7 2 15 2" xfId="32801"/>
    <cellStyle name="Normal 7 2 16" xfId="10682"/>
    <cellStyle name="Normal 7 2 16 2" xfId="33457"/>
    <cellStyle name="Normal 7 2 17" xfId="11338"/>
    <cellStyle name="Normal 7 2 17 2" xfId="34113"/>
    <cellStyle name="Normal 7 2 18" xfId="11994"/>
    <cellStyle name="Normal 7 2 18 2" xfId="34769"/>
    <cellStyle name="Normal 7 2 19" xfId="12650"/>
    <cellStyle name="Normal 7 2 19 2" xfId="35425"/>
    <cellStyle name="Normal 7 2 2" xfId="842"/>
    <cellStyle name="Normal 7 2 2 10" xfId="8386"/>
    <cellStyle name="Normal 7 2 2 10 2" xfId="31161"/>
    <cellStyle name="Normal 7 2 2 11" xfId="9042"/>
    <cellStyle name="Normal 7 2 2 11 2" xfId="31817"/>
    <cellStyle name="Normal 7 2 2 12" xfId="9698"/>
    <cellStyle name="Normal 7 2 2 12 2" xfId="32473"/>
    <cellStyle name="Normal 7 2 2 13" xfId="10354"/>
    <cellStyle name="Normal 7 2 2 13 2" xfId="33129"/>
    <cellStyle name="Normal 7 2 2 14" xfId="11010"/>
    <cellStyle name="Normal 7 2 2 14 2" xfId="33785"/>
    <cellStyle name="Normal 7 2 2 15" xfId="11666"/>
    <cellStyle name="Normal 7 2 2 15 2" xfId="34441"/>
    <cellStyle name="Normal 7 2 2 16" xfId="12322"/>
    <cellStyle name="Normal 7 2 2 16 2" xfId="35097"/>
    <cellStyle name="Normal 7 2 2 17" xfId="12978"/>
    <cellStyle name="Normal 7 2 2 17 2" xfId="35753"/>
    <cellStyle name="Normal 7 2 2 18" xfId="13634"/>
    <cellStyle name="Normal 7 2 2 18 2" xfId="36409"/>
    <cellStyle name="Normal 7 2 2 19" xfId="14290"/>
    <cellStyle name="Normal 7 2 2 19 2" xfId="37065"/>
    <cellStyle name="Normal 7 2 2 2" xfId="1498"/>
    <cellStyle name="Normal 7 2 2 2 2" xfId="3794"/>
    <cellStyle name="Normal 7 2 2 2 2 2" xfId="26569"/>
    <cellStyle name="Normal 7 2 2 2 3" xfId="24273"/>
    <cellStyle name="Normal 7 2 2 20" xfId="14946"/>
    <cellStyle name="Normal 7 2 2 20 2" xfId="37721"/>
    <cellStyle name="Normal 7 2 2 21" xfId="15602"/>
    <cellStyle name="Normal 7 2 2 21 2" xfId="38377"/>
    <cellStyle name="Normal 7 2 2 22" xfId="16258"/>
    <cellStyle name="Normal 7 2 2 22 2" xfId="39033"/>
    <cellStyle name="Normal 7 2 2 23" xfId="16914"/>
    <cellStyle name="Normal 7 2 2 23 2" xfId="39689"/>
    <cellStyle name="Normal 7 2 2 24" xfId="17570"/>
    <cellStyle name="Normal 7 2 2 24 2" xfId="40345"/>
    <cellStyle name="Normal 7 2 2 25" xfId="18226"/>
    <cellStyle name="Normal 7 2 2 25 2" xfId="41001"/>
    <cellStyle name="Normal 7 2 2 26" xfId="18882"/>
    <cellStyle name="Normal 7 2 2 26 2" xfId="41657"/>
    <cellStyle name="Normal 7 2 2 27" xfId="19538"/>
    <cellStyle name="Normal 7 2 2 27 2" xfId="42313"/>
    <cellStyle name="Normal 7 2 2 28" xfId="20194"/>
    <cellStyle name="Normal 7 2 2 28 2" xfId="42969"/>
    <cellStyle name="Normal 7 2 2 29" xfId="20850"/>
    <cellStyle name="Normal 7 2 2 29 2" xfId="43625"/>
    <cellStyle name="Normal 7 2 2 3" xfId="2154"/>
    <cellStyle name="Normal 7 2 2 3 2" xfId="4450"/>
    <cellStyle name="Normal 7 2 2 3 2 2" xfId="27225"/>
    <cellStyle name="Normal 7 2 2 3 3" xfId="24929"/>
    <cellStyle name="Normal 7 2 2 30" xfId="21506"/>
    <cellStyle name="Normal 7 2 2 30 2" xfId="44281"/>
    <cellStyle name="Normal 7 2 2 31" xfId="22162"/>
    <cellStyle name="Normal 7 2 2 31 2" xfId="44937"/>
    <cellStyle name="Normal 7 2 2 32" xfId="22818"/>
    <cellStyle name="Normal 7 2 2 32 2" xfId="45593"/>
    <cellStyle name="Normal 7 2 2 33" xfId="23617"/>
    <cellStyle name="Normal 7 2 2 4" xfId="5106"/>
    <cellStyle name="Normal 7 2 2 4 2" xfId="27881"/>
    <cellStyle name="Normal 7 2 2 5" xfId="5762"/>
    <cellStyle name="Normal 7 2 2 5 2" xfId="28537"/>
    <cellStyle name="Normal 7 2 2 6" xfId="6418"/>
    <cellStyle name="Normal 7 2 2 6 2" xfId="29193"/>
    <cellStyle name="Normal 7 2 2 7" xfId="3138"/>
    <cellStyle name="Normal 7 2 2 7 2" xfId="25913"/>
    <cellStyle name="Normal 7 2 2 8" xfId="7074"/>
    <cellStyle name="Normal 7 2 2 8 2" xfId="29849"/>
    <cellStyle name="Normal 7 2 2 9" xfId="7730"/>
    <cellStyle name="Normal 7 2 2 9 2" xfId="30505"/>
    <cellStyle name="Normal 7 2 20" xfId="13306"/>
    <cellStyle name="Normal 7 2 20 2" xfId="36081"/>
    <cellStyle name="Normal 7 2 21" xfId="13962"/>
    <cellStyle name="Normal 7 2 21 2" xfId="36737"/>
    <cellStyle name="Normal 7 2 22" xfId="14618"/>
    <cellStyle name="Normal 7 2 22 2" xfId="37393"/>
    <cellStyle name="Normal 7 2 23" xfId="15274"/>
    <cellStyle name="Normal 7 2 23 2" xfId="38049"/>
    <cellStyle name="Normal 7 2 24" xfId="15930"/>
    <cellStyle name="Normal 7 2 24 2" xfId="38705"/>
    <cellStyle name="Normal 7 2 25" xfId="16586"/>
    <cellStyle name="Normal 7 2 25 2" xfId="39361"/>
    <cellStyle name="Normal 7 2 26" xfId="17242"/>
    <cellStyle name="Normal 7 2 26 2" xfId="40017"/>
    <cellStyle name="Normal 7 2 27" xfId="17898"/>
    <cellStyle name="Normal 7 2 27 2" xfId="40673"/>
    <cellStyle name="Normal 7 2 28" xfId="18554"/>
    <cellStyle name="Normal 7 2 28 2" xfId="41329"/>
    <cellStyle name="Normal 7 2 29" xfId="19210"/>
    <cellStyle name="Normal 7 2 29 2" xfId="41985"/>
    <cellStyle name="Normal 7 2 3" xfId="1170"/>
    <cellStyle name="Normal 7 2 3 2" xfId="2810"/>
    <cellStyle name="Normal 7 2 3 2 2" xfId="25585"/>
    <cellStyle name="Normal 7 2 3 3" xfId="23945"/>
    <cellStyle name="Normal 7 2 30" xfId="19866"/>
    <cellStyle name="Normal 7 2 30 2" xfId="42641"/>
    <cellStyle name="Normal 7 2 31" xfId="20522"/>
    <cellStyle name="Normal 7 2 31 2" xfId="43297"/>
    <cellStyle name="Normal 7 2 32" xfId="21178"/>
    <cellStyle name="Normal 7 2 32 2" xfId="43953"/>
    <cellStyle name="Normal 7 2 33" xfId="21834"/>
    <cellStyle name="Normal 7 2 33 2" xfId="44609"/>
    <cellStyle name="Normal 7 2 34" xfId="22490"/>
    <cellStyle name="Normal 7 2 34 2" xfId="45265"/>
    <cellStyle name="Normal 7 2 35" xfId="23289"/>
    <cellStyle name="Normal 7 2 4" xfId="1826"/>
    <cellStyle name="Normal 7 2 4 2" xfId="3466"/>
    <cellStyle name="Normal 7 2 4 2 2" xfId="26241"/>
    <cellStyle name="Normal 7 2 4 3" xfId="24601"/>
    <cellStyle name="Normal 7 2 5" xfId="4122"/>
    <cellStyle name="Normal 7 2 5 2" xfId="26897"/>
    <cellStyle name="Normal 7 2 6" xfId="4778"/>
    <cellStyle name="Normal 7 2 6 2" xfId="27553"/>
    <cellStyle name="Normal 7 2 7" xfId="5434"/>
    <cellStyle name="Normal 7 2 7 2" xfId="28209"/>
    <cellStyle name="Normal 7 2 8" xfId="6090"/>
    <cellStyle name="Normal 7 2 8 2" xfId="28865"/>
    <cellStyle name="Normal 7 2 9" xfId="2482"/>
    <cellStyle name="Normal 7 2 9 2" xfId="25257"/>
    <cellStyle name="Normal 7 20" xfId="12465"/>
    <cellStyle name="Normal 7 20 2" xfId="35240"/>
    <cellStyle name="Normal 7 21" xfId="13121"/>
    <cellStyle name="Normal 7 21 2" xfId="35896"/>
    <cellStyle name="Normal 7 22" xfId="13777"/>
    <cellStyle name="Normal 7 22 2" xfId="36552"/>
    <cellStyle name="Normal 7 23" xfId="14433"/>
    <cellStyle name="Normal 7 23 2" xfId="37208"/>
    <cellStyle name="Normal 7 24" xfId="15089"/>
    <cellStyle name="Normal 7 24 2" xfId="37864"/>
    <cellStyle name="Normal 7 25" xfId="15745"/>
    <cellStyle name="Normal 7 25 2" xfId="38520"/>
    <cellStyle name="Normal 7 26" xfId="16401"/>
    <cellStyle name="Normal 7 26 2" xfId="39176"/>
    <cellStyle name="Normal 7 27" xfId="17057"/>
    <cellStyle name="Normal 7 27 2" xfId="39832"/>
    <cellStyle name="Normal 7 28" xfId="17713"/>
    <cellStyle name="Normal 7 28 2" xfId="40488"/>
    <cellStyle name="Normal 7 29" xfId="18369"/>
    <cellStyle name="Normal 7 29 2" xfId="41144"/>
    <cellStyle name="Normal 7 3" xfId="657"/>
    <cellStyle name="Normal 7 3 10" xfId="8201"/>
    <cellStyle name="Normal 7 3 10 2" xfId="30976"/>
    <cellStyle name="Normal 7 3 11" xfId="8857"/>
    <cellStyle name="Normal 7 3 11 2" xfId="31632"/>
    <cellStyle name="Normal 7 3 12" xfId="9513"/>
    <cellStyle name="Normal 7 3 12 2" xfId="32288"/>
    <cellStyle name="Normal 7 3 13" xfId="10169"/>
    <cellStyle name="Normal 7 3 13 2" xfId="32944"/>
    <cellStyle name="Normal 7 3 14" xfId="10825"/>
    <cellStyle name="Normal 7 3 14 2" xfId="33600"/>
    <cellStyle name="Normal 7 3 15" xfId="11481"/>
    <cellStyle name="Normal 7 3 15 2" xfId="34256"/>
    <cellStyle name="Normal 7 3 16" xfId="12137"/>
    <cellStyle name="Normal 7 3 16 2" xfId="34912"/>
    <cellStyle name="Normal 7 3 17" xfId="12793"/>
    <cellStyle name="Normal 7 3 17 2" xfId="35568"/>
    <cellStyle name="Normal 7 3 18" xfId="13449"/>
    <cellStyle name="Normal 7 3 18 2" xfId="36224"/>
    <cellStyle name="Normal 7 3 19" xfId="14105"/>
    <cellStyle name="Normal 7 3 19 2" xfId="36880"/>
    <cellStyle name="Normal 7 3 2" xfId="1313"/>
    <cellStyle name="Normal 7 3 2 2" xfId="3609"/>
    <cellStyle name="Normal 7 3 2 2 2" xfId="26384"/>
    <cellStyle name="Normal 7 3 2 3" xfId="24088"/>
    <cellStyle name="Normal 7 3 20" xfId="14761"/>
    <cellStyle name="Normal 7 3 20 2" xfId="37536"/>
    <cellStyle name="Normal 7 3 21" xfId="15417"/>
    <cellStyle name="Normal 7 3 21 2" xfId="38192"/>
    <cellStyle name="Normal 7 3 22" xfId="16073"/>
    <cellStyle name="Normal 7 3 22 2" xfId="38848"/>
    <cellStyle name="Normal 7 3 23" xfId="16729"/>
    <cellStyle name="Normal 7 3 23 2" xfId="39504"/>
    <cellStyle name="Normal 7 3 24" xfId="17385"/>
    <cellStyle name="Normal 7 3 24 2" xfId="40160"/>
    <cellStyle name="Normal 7 3 25" xfId="18041"/>
    <cellStyle name="Normal 7 3 25 2" xfId="40816"/>
    <cellStyle name="Normal 7 3 26" xfId="18697"/>
    <cellStyle name="Normal 7 3 26 2" xfId="41472"/>
    <cellStyle name="Normal 7 3 27" xfId="19353"/>
    <cellStyle name="Normal 7 3 27 2" xfId="42128"/>
    <cellStyle name="Normal 7 3 28" xfId="20009"/>
    <cellStyle name="Normal 7 3 28 2" xfId="42784"/>
    <cellStyle name="Normal 7 3 29" xfId="20665"/>
    <cellStyle name="Normal 7 3 29 2" xfId="43440"/>
    <cellStyle name="Normal 7 3 3" xfId="1969"/>
    <cellStyle name="Normal 7 3 3 2" xfId="4265"/>
    <cellStyle name="Normal 7 3 3 2 2" xfId="27040"/>
    <cellStyle name="Normal 7 3 3 3" xfId="24744"/>
    <cellStyle name="Normal 7 3 30" xfId="21321"/>
    <cellStyle name="Normal 7 3 30 2" xfId="44096"/>
    <cellStyle name="Normal 7 3 31" xfId="21977"/>
    <cellStyle name="Normal 7 3 31 2" xfId="44752"/>
    <cellStyle name="Normal 7 3 32" xfId="22633"/>
    <cellStyle name="Normal 7 3 32 2" xfId="45408"/>
    <cellStyle name="Normal 7 3 33" xfId="23432"/>
    <cellStyle name="Normal 7 3 4" xfId="4921"/>
    <cellStyle name="Normal 7 3 4 2" xfId="27696"/>
    <cellStyle name="Normal 7 3 5" xfId="5577"/>
    <cellStyle name="Normal 7 3 5 2" xfId="28352"/>
    <cellStyle name="Normal 7 3 6" xfId="6233"/>
    <cellStyle name="Normal 7 3 6 2" xfId="29008"/>
    <cellStyle name="Normal 7 3 7" xfId="2953"/>
    <cellStyle name="Normal 7 3 7 2" xfId="25728"/>
    <cellStyle name="Normal 7 3 8" xfId="6889"/>
    <cellStyle name="Normal 7 3 8 2" xfId="29664"/>
    <cellStyle name="Normal 7 3 9" xfId="7545"/>
    <cellStyle name="Normal 7 3 9 2" xfId="30320"/>
    <cellStyle name="Normal 7 30" xfId="19025"/>
    <cellStyle name="Normal 7 30 2" xfId="41800"/>
    <cellStyle name="Normal 7 31" xfId="19681"/>
    <cellStyle name="Normal 7 31 2" xfId="42456"/>
    <cellStyle name="Normal 7 32" xfId="20337"/>
    <cellStyle name="Normal 7 32 2" xfId="43112"/>
    <cellStyle name="Normal 7 33" xfId="20993"/>
    <cellStyle name="Normal 7 33 2" xfId="43768"/>
    <cellStyle name="Normal 7 34" xfId="21649"/>
    <cellStyle name="Normal 7 34 2" xfId="44424"/>
    <cellStyle name="Normal 7 35" xfId="22305"/>
    <cellStyle name="Normal 7 35 2" xfId="45080"/>
    <cellStyle name="Normal 7 36" xfId="244"/>
    <cellStyle name="Normal 7 37" xfId="22961"/>
    <cellStyle name="Normal 7 4" xfId="330"/>
    <cellStyle name="Normal 7 4 2" xfId="2625"/>
    <cellStyle name="Normal 7 4 2 2" xfId="25400"/>
    <cellStyle name="Normal 7 4 3" xfId="23104"/>
    <cellStyle name="Normal 7 5" xfId="985"/>
    <cellStyle name="Normal 7 5 2" xfId="3281"/>
    <cellStyle name="Normal 7 5 2 2" xfId="26056"/>
    <cellStyle name="Normal 7 5 3" xfId="23760"/>
    <cellStyle name="Normal 7 6" xfId="1641"/>
    <cellStyle name="Normal 7 6 2" xfId="3937"/>
    <cellStyle name="Normal 7 6 2 2" xfId="26712"/>
    <cellStyle name="Normal 7 6 3" xfId="24416"/>
    <cellStyle name="Normal 7 7" xfId="4593"/>
    <cellStyle name="Normal 7 7 2" xfId="27368"/>
    <cellStyle name="Normal 7 8" xfId="5249"/>
    <cellStyle name="Normal 7 8 2" xfId="28024"/>
    <cellStyle name="Normal 7 9" xfId="5905"/>
    <cellStyle name="Normal 7 9 2" xfId="28680"/>
    <cellStyle name="Normal 8" xfId="184"/>
    <cellStyle name="Normal 8 10" xfId="2382"/>
    <cellStyle name="Normal 8 10 2" xfId="25157"/>
    <cellStyle name="Normal 8 11" xfId="6646"/>
    <cellStyle name="Normal 8 11 2" xfId="29421"/>
    <cellStyle name="Normal 8 12" xfId="7302"/>
    <cellStyle name="Normal 8 12 2" xfId="30077"/>
    <cellStyle name="Normal 8 13" xfId="7958"/>
    <cellStyle name="Normal 8 13 2" xfId="30733"/>
    <cellStyle name="Normal 8 14" xfId="8614"/>
    <cellStyle name="Normal 8 14 2" xfId="31389"/>
    <cellStyle name="Normal 8 15" xfId="9270"/>
    <cellStyle name="Normal 8 15 2" xfId="32045"/>
    <cellStyle name="Normal 8 16" xfId="9926"/>
    <cellStyle name="Normal 8 16 2" xfId="32701"/>
    <cellStyle name="Normal 8 17" xfId="10582"/>
    <cellStyle name="Normal 8 17 2" xfId="33357"/>
    <cellStyle name="Normal 8 18" xfId="11238"/>
    <cellStyle name="Normal 8 18 2" xfId="34013"/>
    <cellStyle name="Normal 8 19" xfId="11894"/>
    <cellStyle name="Normal 8 19 2" xfId="34669"/>
    <cellStyle name="Normal 8 2" xfId="598"/>
    <cellStyle name="Normal 8 2 10" xfId="6831"/>
    <cellStyle name="Normal 8 2 10 2" xfId="29606"/>
    <cellStyle name="Normal 8 2 11" xfId="7487"/>
    <cellStyle name="Normal 8 2 11 2" xfId="30262"/>
    <cellStyle name="Normal 8 2 12" xfId="8143"/>
    <cellStyle name="Normal 8 2 12 2" xfId="30918"/>
    <cellStyle name="Normal 8 2 13" xfId="8799"/>
    <cellStyle name="Normal 8 2 13 2" xfId="31574"/>
    <cellStyle name="Normal 8 2 14" xfId="9455"/>
    <cellStyle name="Normal 8 2 14 2" xfId="32230"/>
    <cellStyle name="Normal 8 2 15" xfId="10111"/>
    <cellStyle name="Normal 8 2 15 2" xfId="32886"/>
    <cellStyle name="Normal 8 2 16" xfId="10767"/>
    <cellStyle name="Normal 8 2 16 2" xfId="33542"/>
    <cellStyle name="Normal 8 2 17" xfId="11423"/>
    <cellStyle name="Normal 8 2 17 2" xfId="34198"/>
    <cellStyle name="Normal 8 2 18" xfId="12079"/>
    <cellStyle name="Normal 8 2 18 2" xfId="34854"/>
    <cellStyle name="Normal 8 2 19" xfId="12735"/>
    <cellStyle name="Normal 8 2 19 2" xfId="35510"/>
    <cellStyle name="Normal 8 2 2" xfId="927"/>
    <cellStyle name="Normal 8 2 2 10" xfId="8471"/>
    <cellStyle name="Normal 8 2 2 10 2" xfId="31246"/>
    <cellStyle name="Normal 8 2 2 11" xfId="9127"/>
    <cellStyle name="Normal 8 2 2 11 2" xfId="31902"/>
    <cellStyle name="Normal 8 2 2 12" xfId="9783"/>
    <cellStyle name="Normal 8 2 2 12 2" xfId="32558"/>
    <cellStyle name="Normal 8 2 2 13" xfId="10439"/>
    <cellStyle name="Normal 8 2 2 13 2" xfId="33214"/>
    <cellStyle name="Normal 8 2 2 14" xfId="11095"/>
    <cellStyle name="Normal 8 2 2 14 2" xfId="33870"/>
    <cellStyle name="Normal 8 2 2 15" xfId="11751"/>
    <cellStyle name="Normal 8 2 2 15 2" xfId="34526"/>
    <cellStyle name="Normal 8 2 2 16" xfId="12407"/>
    <cellStyle name="Normal 8 2 2 16 2" xfId="35182"/>
    <cellStyle name="Normal 8 2 2 17" xfId="13063"/>
    <cellStyle name="Normal 8 2 2 17 2" xfId="35838"/>
    <cellStyle name="Normal 8 2 2 18" xfId="13719"/>
    <cellStyle name="Normal 8 2 2 18 2" xfId="36494"/>
    <cellStyle name="Normal 8 2 2 19" xfId="14375"/>
    <cellStyle name="Normal 8 2 2 19 2" xfId="37150"/>
    <cellStyle name="Normal 8 2 2 2" xfId="1583"/>
    <cellStyle name="Normal 8 2 2 2 2" xfId="3879"/>
    <cellStyle name="Normal 8 2 2 2 2 2" xfId="26654"/>
    <cellStyle name="Normal 8 2 2 2 3" xfId="24358"/>
    <cellStyle name="Normal 8 2 2 20" xfId="15031"/>
    <cellStyle name="Normal 8 2 2 20 2" xfId="37806"/>
    <cellStyle name="Normal 8 2 2 21" xfId="15687"/>
    <cellStyle name="Normal 8 2 2 21 2" xfId="38462"/>
    <cellStyle name="Normal 8 2 2 22" xfId="16343"/>
    <cellStyle name="Normal 8 2 2 22 2" xfId="39118"/>
    <cellStyle name="Normal 8 2 2 23" xfId="16999"/>
    <cellStyle name="Normal 8 2 2 23 2" xfId="39774"/>
    <cellStyle name="Normal 8 2 2 24" xfId="17655"/>
    <cellStyle name="Normal 8 2 2 24 2" xfId="40430"/>
    <cellStyle name="Normal 8 2 2 25" xfId="18311"/>
    <cellStyle name="Normal 8 2 2 25 2" xfId="41086"/>
    <cellStyle name="Normal 8 2 2 26" xfId="18967"/>
    <cellStyle name="Normal 8 2 2 26 2" xfId="41742"/>
    <cellStyle name="Normal 8 2 2 27" xfId="19623"/>
    <cellStyle name="Normal 8 2 2 27 2" xfId="42398"/>
    <cellStyle name="Normal 8 2 2 28" xfId="20279"/>
    <cellStyle name="Normal 8 2 2 28 2" xfId="43054"/>
    <cellStyle name="Normal 8 2 2 29" xfId="20935"/>
    <cellStyle name="Normal 8 2 2 29 2" xfId="43710"/>
    <cellStyle name="Normal 8 2 2 3" xfId="2239"/>
    <cellStyle name="Normal 8 2 2 3 2" xfId="4535"/>
    <cellStyle name="Normal 8 2 2 3 2 2" xfId="27310"/>
    <cellStyle name="Normal 8 2 2 3 3" xfId="25014"/>
    <cellStyle name="Normal 8 2 2 30" xfId="21591"/>
    <cellStyle name="Normal 8 2 2 30 2" xfId="44366"/>
    <cellStyle name="Normal 8 2 2 31" xfId="22247"/>
    <cellStyle name="Normal 8 2 2 31 2" xfId="45022"/>
    <cellStyle name="Normal 8 2 2 32" xfId="22903"/>
    <cellStyle name="Normal 8 2 2 32 2" xfId="45678"/>
    <cellStyle name="Normal 8 2 2 33" xfId="23702"/>
    <cellStyle name="Normal 8 2 2 4" xfId="5191"/>
    <cellStyle name="Normal 8 2 2 4 2" xfId="27966"/>
    <cellStyle name="Normal 8 2 2 5" xfId="5847"/>
    <cellStyle name="Normal 8 2 2 5 2" xfId="28622"/>
    <cellStyle name="Normal 8 2 2 6" xfId="6503"/>
    <cellStyle name="Normal 8 2 2 6 2" xfId="29278"/>
    <cellStyle name="Normal 8 2 2 7" xfId="3223"/>
    <cellStyle name="Normal 8 2 2 7 2" xfId="25998"/>
    <cellStyle name="Normal 8 2 2 8" xfId="7159"/>
    <cellStyle name="Normal 8 2 2 8 2" xfId="29934"/>
    <cellStyle name="Normal 8 2 2 9" xfId="7815"/>
    <cellStyle name="Normal 8 2 2 9 2" xfId="30590"/>
    <cellStyle name="Normal 8 2 20" xfId="13391"/>
    <cellStyle name="Normal 8 2 20 2" xfId="36166"/>
    <cellStyle name="Normal 8 2 21" xfId="14047"/>
    <cellStyle name="Normal 8 2 21 2" xfId="36822"/>
    <cellStyle name="Normal 8 2 22" xfId="14703"/>
    <cellStyle name="Normal 8 2 22 2" xfId="37478"/>
    <cellStyle name="Normal 8 2 23" xfId="15359"/>
    <cellStyle name="Normal 8 2 23 2" xfId="38134"/>
    <cellStyle name="Normal 8 2 24" xfId="16015"/>
    <cellStyle name="Normal 8 2 24 2" xfId="38790"/>
    <cellStyle name="Normal 8 2 25" xfId="16671"/>
    <cellStyle name="Normal 8 2 25 2" xfId="39446"/>
    <cellStyle name="Normal 8 2 26" xfId="17327"/>
    <cellStyle name="Normal 8 2 26 2" xfId="40102"/>
    <cellStyle name="Normal 8 2 27" xfId="17983"/>
    <cellStyle name="Normal 8 2 27 2" xfId="40758"/>
    <cellStyle name="Normal 8 2 28" xfId="18639"/>
    <cellStyle name="Normal 8 2 28 2" xfId="41414"/>
    <cellStyle name="Normal 8 2 29" xfId="19295"/>
    <cellStyle name="Normal 8 2 29 2" xfId="42070"/>
    <cellStyle name="Normal 8 2 3" xfId="1255"/>
    <cellStyle name="Normal 8 2 3 2" xfId="2895"/>
    <cellStyle name="Normal 8 2 3 2 2" xfId="25670"/>
    <cellStyle name="Normal 8 2 3 3" xfId="24030"/>
    <cellStyle name="Normal 8 2 30" xfId="19951"/>
    <cellStyle name="Normal 8 2 30 2" xfId="42726"/>
    <cellStyle name="Normal 8 2 31" xfId="20607"/>
    <cellStyle name="Normal 8 2 31 2" xfId="43382"/>
    <cellStyle name="Normal 8 2 32" xfId="21263"/>
    <cellStyle name="Normal 8 2 32 2" xfId="44038"/>
    <cellStyle name="Normal 8 2 33" xfId="21919"/>
    <cellStyle name="Normal 8 2 33 2" xfId="44694"/>
    <cellStyle name="Normal 8 2 34" xfId="22575"/>
    <cellStyle name="Normal 8 2 34 2" xfId="45350"/>
    <cellStyle name="Normal 8 2 35" xfId="23374"/>
    <cellStyle name="Normal 8 2 4" xfId="1911"/>
    <cellStyle name="Normal 8 2 4 2" xfId="3551"/>
    <cellStyle name="Normal 8 2 4 2 2" xfId="26326"/>
    <cellStyle name="Normal 8 2 4 3" xfId="24686"/>
    <cellStyle name="Normal 8 2 5" xfId="4207"/>
    <cellStyle name="Normal 8 2 5 2" xfId="26982"/>
    <cellStyle name="Normal 8 2 6" xfId="4863"/>
    <cellStyle name="Normal 8 2 6 2" xfId="27638"/>
    <cellStyle name="Normal 8 2 7" xfId="5519"/>
    <cellStyle name="Normal 8 2 7 2" xfId="28294"/>
    <cellStyle name="Normal 8 2 8" xfId="6175"/>
    <cellStyle name="Normal 8 2 8 2" xfId="28950"/>
    <cellStyle name="Normal 8 2 9" xfId="2567"/>
    <cellStyle name="Normal 8 2 9 2" xfId="25342"/>
    <cellStyle name="Normal 8 20" xfId="12550"/>
    <cellStyle name="Normal 8 20 2" xfId="35325"/>
    <cellStyle name="Normal 8 21" xfId="13206"/>
    <cellStyle name="Normal 8 21 2" xfId="35981"/>
    <cellStyle name="Normal 8 22" xfId="13862"/>
    <cellStyle name="Normal 8 22 2" xfId="36637"/>
    <cellStyle name="Normal 8 23" xfId="14518"/>
    <cellStyle name="Normal 8 23 2" xfId="37293"/>
    <cellStyle name="Normal 8 24" xfId="15174"/>
    <cellStyle name="Normal 8 24 2" xfId="37949"/>
    <cellStyle name="Normal 8 25" xfId="15830"/>
    <cellStyle name="Normal 8 25 2" xfId="38605"/>
    <cellStyle name="Normal 8 26" xfId="16486"/>
    <cellStyle name="Normal 8 26 2" xfId="39261"/>
    <cellStyle name="Normal 8 27" xfId="17142"/>
    <cellStyle name="Normal 8 27 2" xfId="39917"/>
    <cellStyle name="Normal 8 28" xfId="17798"/>
    <cellStyle name="Normal 8 28 2" xfId="40573"/>
    <cellStyle name="Normal 8 29" xfId="18454"/>
    <cellStyle name="Normal 8 29 2" xfId="41229"/>
    <cellStyle name="Normal 8 3" xfId="742"/>
    <cellStyle name="Normal 8 3 10" xfId="8286"/>
    <cellStyle name="Normal 8 3 10 2" xfId="31061"/>
    <cellStyle name="Normal 8 3 11" xfId="8942"/>
    <cellStyle name="Normal 8 3 11 2" xfId="31717"/>
    <cellStyle name="Normal 8 3 12" xfId="9598"/>
    <cellStyle name="Normal 8 3 12 2" xfId="32373"/>
    <cellStyle name="Normal 8 3 13" xfId="10254"/>
    <cellStyle name="Normal 8 3 13 2" xfId="33029"/>
    <cellStyle name="Normal 8 3 14" xfId="10910"/>
    <cellStyle name="Normal 8 3 14 2" xfId="33685"/>
    <cellStyle name="Normal 8 3 15" xfId="11566"/>
    <cellStyle name="Normal 8 3 15 2" xfId="34341"/>
    <cellStyle name="Normal 8 3 16" xfId="12222"/>
    <cellStyle name="Normal 8 3 16 2" xfId="34997"/>
    <cellStyle name="Normal 8 3 17" xfId="12878"/>
    <cellStyle name="Normal 8 3 17 2" xfId="35653"/>
    <cellStyle name="Normal 8 3 18" xfId="13534"/>
    <cellStyle name="Normal 8 3 18 2" xfId="36309"/>
    <cellStyle name="Normal 8 3 19" xfId="14190"/>
    <cellStyle name="Normal 8 3 19 2" xfId="36965"/>
    <cellStyle name="Normal 8 3 2" xfId="1398"/>
    <cellStyle name="Normal 8 3 2 2" xfId="3694"/>
    <cellStyle name="Normal 8 3 2 2 2" xfId="26469"/>
    <cellStyle name="Normal 8 3 2 3" xfId="24173"/>
    <cellStyle name="Normal 8 3 20" xfId="14846"/>
    <cellStyle name="Normal 8 3 20 2" xfId="37621"/>
    <cellStyle name="Normal 8 3 21" xfId="15502"/>
    <cellStyle name="Normal 8 3 21 2" xfId="38277"/>
    <cellStyle name="Normal 8 3 22" xfId="16158"/>
    <cellStyle name="Normal 8 3 22 2" xfId="38933"/>
    <cellStyle name="Normal 8 3 23" xfId="16814"/>
    <cellStyle name="Normal 8 3 23 2" xfId="39589"/>
    <cellStyle name="Normal 8 3 24" xfId="17470"/>
    <cellStyle name="Normal 8 3 24 2" xfId="40245"/>
    <cellStyle name="Normal 8 3 25" xfId="18126"/>
    <cellStyle name="Normal 8 3 25 2" xfId="40901"/>
    <cellStyle name="Normal 8 3 26" xfId="18782"/>
    <cellStyle name="Normal 8 3 26 2" xfId="41557"/>
    <cellStyle name="Normal 8 3 27" xfId="19438"/>
    <cellStyle name="Normal 8 3 27 2" xfId="42213"/>
    <cellStyle name="Normal 8 3 28" xfId="20094"/>
    <cellStyle name="Normal 8 3 28 2" xfId="42869"/>
    <cellStyle name="Normal 8 3 29" xfId="20750"/>
    <cellStyle name="Normal 8 3 29 2" xfId="43525"/>
    <cellStyle name="Normal 8 3 3" xfId="2054"/>
    <cellStyle name="Normal 8 3 3 2" xfId="4350"/>
    <cellStyle name="Normal 8 3 3 2 2" xfId="27125"/>
    <cellStyle name="Normal 8 3 3 3" xfId="24829"/>
    <cellStyle name="Normal 8 3 30" xfId="21406"/>
    <cellStyle name="Normal 8 3 30 2" xfId="44181"/>
    <cellStyle name="Normal 8 3 31" xfId="22062"/>
    <cellStyle name="Normal 8 3 31 2" xfId="44837"/>
    <cellStyle name="Normal 8 3 32" xfId="22718"/>
    <cellStyle name="Normal 8 3 32 2" xfId="45493"/>
    <cellStyle name="Normal 8 3 33" xfId="23517"/>
    <cellStyle name="Normal 8 3 4" xfId="5006"/>
    <cellStyle name="Normal 8 3 4 2" xfId="27781"/>
    <cellStyle name="Normal 8 3 5" xfId="5662"/>
    <cellStyle name="Normal 8 3 5 2" xfId="28437"/>
    <cellStyle name="Normal 8 3 6" xfId="6318"/>
    <cellStyle name="Normal 8 3 6 2" xfId="29093"/>
    <cellStyle name="Normal 8 3 7" xfId="3038"/>
    <cellStyle name="Normal 8 3 7 2" xfId="25813"/>
    <cellStyle name="Normal 8 3 8" xfId="6974"/>
    <cellStyle name="Normal 8 3 8 2" xfId="29749"/>
    <cellStyle name="Normal 8 3 9" xfId="7630"/>
    <cellStyle name="Normal 8 3 9 2" xfId="30405"/>
    <cellStyle name="Normal 8 30" xfId="19110"/>
    <cellStyle name="Normal 8 30 2" xfId="41885"/>
    <cellStyle name="Normal 8 31" xfId="19766"/>
    <cellStyle name="Normal 8 31 2" xfId="42541"/>
    <cellStyle name="Normal 8 32" xfId="20422"/>
    <cellStyle name="Normal 8 32 2" xfId="43197"/>
    <cellStyle name="Normal 8 33" xfId="21078"/>
    <cellStyle name="Normal 8 33 2" xfId="43853"/>
    <cellStyle name="Normal 8 34" xfId="21734"/>
    <cellStyle name="Normal 8 34 2" xfId="44509"/>
    <cellStyle name="Normal 8 35" xfId="22390"/>
    <cellStyle name="Normal 8 35 2" xfId="45165"/>
    <cellStyle name="Normal 8 36" xfId="23046"/>
    <cellStyle name="Normal 8 4" xfId="415"/>
    <cellStyle name="Normal 8 4 2" xfId="2710"/>
    <cellStyle name="Normal 8 4 2 2" xfId="25485"/>
    <cellStyle name="Normal 8 4 3" xfId="23189"/>
    <cellStyle name="Normal 8 5" xfId="1070"/>
    <cellStyle name="Normal 8 5 2" xfId="3366"/>
    <cellStyle name="Normal 8 5 2 2" xfId="26141"/>
    <cellStyle name="Normal 8 5 3" xfId="23845"/>
    <cellStyle name="Normal 8 6" xfId="1726"/>
    <cellStyle name="Normal 8 6 2" xfId="4022"/>
    <cellStyle name="Normal 8 6 2 2" xfId="26797"/>
    <cellStyle name="Normal 8 6 3" xfId="24501"/>
    <cellStyle name="Normal 8 7" xfId="4678"/>
    <cellStyle name="Normal 8 7 2" xfId="27453"/>
    <cellStyle name="Normal 8 8" xfId="5334"/>
    <cellStyle name="Normal 8 8 2" xfId="28109"/>
    <cellStyle name="Normal 8 9" xfId="5990"/>
    <cellStyle name="Normal 8 9 2" xfId="28765"/>
    <cellStyle name="Normal 9" xfId="3"/>
    <cellStyle name="Normal 9 10" xfId="6647"/>
    <cellStyle name="Normal 9 10 2" xfId="29422"/>
    <cellStyle name="Normal 9 11" xfId="7303"/>
    <cellStyle name="Normal 9 11 2" xfId="30078"/>
    <cellStyle name="Normal 9 12" xfId="7959"/>
    <cellStyle name="Normal 9 12 2" xfId="30734"/>
    <cellStyle name="Normal 9 13" xfId="8615"/>
    <cellStyle name="Normal 9 13 2" xfId="31390"/>
    <cellStyle name="Normal 9 14" xfId="9271"/>
    <cellStyle name="Normal 9 14 2" xfId="32046"/>
    <cellStyle name="Normal 9 15" xfId="9927"/>
    <cellStyle name="Normal 9 15 2" xfId="32702"/>
    <cellStyle name="Normal 9 16" xfId="10583"/>
    <cellStyle name="Normal 9 16 2" xfId="33358"/>
    <cellStyle name="Normal 9 17" xfId="11239"/>
    <cellStyle name="Normal 9 17 2" xfId="34014"/>
    <cellStyle name="Normal 9 18" xfId="11895"/>
    <cellStyle name="Normal 9 18 2" xfId="34670"/>
    <cellStyle name="Normal 9 19" xfId="12551"/>
    <cellStyle name="Normal 9 19 2" xfId="35326"/>
    <cellStyle name="Normal 9 2" xfId="743"/>
    <cellStyle name="Normal 9 2 10" xfId="8287"/>
    <cellStyle name="Normal 9 2 10 2" xfId="31062"/>
    <cellStyle name="Normal 9 2 11" xfId="8943"/>
    <cellStyle name="Normal 9 2 11 2" xfId="31718"/>
    <cellStyle name="Normal 9 2 12" xfId="9599"/>
    <cellStyle name="Normal 9 2 12 2" xfId="32374"/>
    <cellStyle name="Normal 9 2 13" xfId="10255"/>
    <cellStyle name="Normal 9 2 13 2" xfId="33030"/>
    <cellStyle name="Normal 9 2 14" xfId="10911"/>
    <cellStyle name="Normal 9 2 14 2" xfId="33686"/>
    <cellStyle name="Normal 9 2 15" xfId="11567"/>
    <cellStyle name="Normal 9 2 15 2" xfId="34342"/>
    <cellStyle name="Normal 9 2 16" xfId="12223"/>
    <cellStyle name="Normal 9 2 16 2" xfId="34998"/>
    <cellStyle name="Normal 9 2 17" xfId="12879"/>
    <cellStyle name="Normal 9 2 17 2" xfId="35654"/>
    <cellStyle name="Normal 9 2 18" xfId="13535"/>
    <cellStyle name="Normal 9 2 18 2" xfId="36310"/>
    <cellStyle name="Normal 9 2 19" xfId="14191"/>
    <cellStyle name="Normal 9 2 19 2" xfId="36966"/>
    <cellStyle name="Normal 9 2 2" xfId="1399"/>
    <cellStyle name="Normal 9 2 2 2" xfId="3695"/>
    <cellStyle name="Normal 9 2 2 2 2" xfId="26470"/>
    <cellStyle name="Normal 9 2 2 3" xfId="24174"/>
    <cellStyle name="Normal 9 2 20" xfId="14847"/>
    <cellStyle name="Normal 9 2 20 2" xfId="37622"/>
    <cellStyle name="Normal 9 2 21" xfId="15503"/>
    <cellStyle name="Normal 9 2 21 2" xfId="38278"/>
    <cellStyle name="Normal 9 2 22" xfId="16159"/>
    <cellStyle name="Normal 9 2 22 2" xfId="38934"/>
    <cellStyle name="Normal 9 2 23" xfId="16815"/>
    <cellStyle name="Normal 9 2 23 2" xfId="39590"/>
    <cellStyle name="Normal 9 2 24" xfId="17471"/>
    <cellStyle name="Normal 9 2 24 2" xfId="40246"/>
    <cellStyle name="Normal 9 2 25" xfId="18127"/>
    <cellStyle name="Normal 9 2 25 2" xfId="40902"/>
    <cellStyle name="Normal 9 2 26" xfId="18783"/>
    <cellStyle name="Normal 9 2 26 2" xfId="41558"/>
    <cellStyle name="Normal 9 2 27" xfId="19439"/>
    <cellStyle name="Normal 9 2 27 2" xfId="42214"/>
    <cellStyle name="Normal 9 2 28" xfId="20095"/>
    <cellStyle name="Normal 9 2 28 2" xfId="42870"/>
    <cellStyle name="Normal 9 2 29" xfId="20751"/>
    <cellStyle name="Normal 9 2 29 2" xfId="43526"/>
    <cellStyle name="Normal 9 2 3" xfId="2055"/>
    <cellStyle name="Normal 9 2 3 2" xfId="4351"/>
    <cellStyle name="Normal 9 2 3 2 2" xfId="27126"/>
    <cellStyle name="Normal 9 2 3 3" xfId="24830"/>
    <cellStyle name="Normal 9 2 30" xfId="21407"/>
    <cellStyle name="Normal 9 2 30 2" xfId="44182"/>
    <cellStyle name="Normal 9 2 31" xfId="22063"/>
    <cellStyle name="Normal 9 2 31 2" xfId="44838"/>
    <cellStyle name="Normal 9 2 32" xfId="22719"/>
    <cellStyle name="Normal 9 2 32 2" xfId="45494"/>
    <cellStyle name="Normal 9 2 33" xfId="23518"/>
    <cellStyle name="Normal 9 2 4" xfId="5007"/>
    <cellStyle name="Normal 9 2 4 2" xfId="27782"/>
    <cellStyle name="Normal 9 2 5" xfId="5663"/>
    <cellStyle name="Normal 9 2 5 2" xfId="28438"/>
    <cellStyle name="Normal 9 2 6" xfId="6319"/>
    <cellStyle name="Normal 9 2 6 2" xfId="29094"/>
    <cellStyle name="Normal 9 2 7" xfId="3039"/>
    <cellStyle name="Normal 9 2 7 2" xfId="25814"/>
    <cellStyle name="Normal 9 2 8" xfId="6975"/>
    <cellStyle name="Normal 9 2 8 2" xfId="29750"/>
    <cellStyle name="Normal 9 2 9" xfId="7631"/>
    <cellStyle name="Normal 9 2 9 2" xfId="30406"/>
    <cellStyle name="Normal 9 20" xfId="13207"/>
    <cellStyle name="Normal 9 20 2" xfId="35982"/>
    <cellStyle name="Normal 9 21" xfId="13863"/>
    <cellStyle name="Normal 9 21 2" xfId="36638"/>
    <cellStyle name="Normal 9 22" xfId="14519"/>
    <cellStyle name="Normal 9 22 2" xfId="37294"/>
    <cellStyle name="Normal 9 23" xfId="15175"/>
    <cellStyle name="Normal 9 23 2" xfId="37950"/>
    <cellStyle name="Normal 9 24" xfId="15831"/>
    <cellStyle name="Normal 9 24 2" xfId="38606"/>
    <cellStyle name="Normal 9 25" xfId="16487"/>
    <cellStyle name="Normal 9 25 2" xfId="39262"/>
    <cellStyle name="Normal 9 26" xfId="17143"/>
    <cellStyle name="Normal 9 26 2" xfId="39918"/>
    <cellStyle name="Normal 9 27" xfId="17799"/>
    <cellStyle name="Normal 9 27 2" xfId="40574"/>
    <cellStyle name="Normal 9 28" xfId="18455"/>
    <cellStyle name="Normal 9 28 2" xfId="41230"/>
    <cellStyle name="Normal 9 29" xfId="19111"/>
    <cellStyle name="Normal 9 29 2" xfId="41886"/>
    <cellStyle name="Normal 9 3" xfId="1071"/>
    <cellStyle name="Normal 9 3 2" xfId="2711"/>
    <cellStyle name="Normal 9 3 2 2" xfId="25486"/>
    <cellStyle name="Normal 9 3 3" xfId="23846"/>
    <cellStyle name="Normal 9 30" xfId="19767"/>
    <cellStyle name="Normal 9 30 2" xfId="42542"/>
    <cellStyle name="Normal 9 31" xfId="20423"/>
    <cellStyle name="Normal 9 31 2" xfId="43198"/>
    <cellStyle name="Normal 9 32" xfId="21079"/>
    <cellStyle name="Normal 9 32 2" xfId="43854"/>
    <cellStyle name="Normal 9 33" xfId="21735"/>
    <cellStyle name="Normal 9 33 2" xfId="44510"/>
    <cellStyle name="Normal 9 34" xfId="22391"/>
    <cellStyle name="Normal 9 34 2" xfId="45166"/>
    <cellStyle name="Normal 9 35" xfId="23190"/>
    <cellStyle name="Normal 9 36" xfId="416"/>
    <cellStyle name="Normal 9 4" xfId="1727"/>
    <cellStyle name="Normal 9 4 2" xfId="3367"/>
    <cellStyle name="Normal 9 4 2 2" xfId="26142"/>
    <cellStyle name="Normal 9 4 3" xfId="24502"/>
    <cellStyle name="Normal 9 5" xfId="4023"/>
    <cellStyle name="Normal 9 5 2" xfId="26798"/>
    <cellStyle name="Normal 9 6" xfId="4679"/>
    <cellStyle name="Normal 9 6 2" xfId="27454"/>
    <cellStyle name="Normal 9 7" xfId="5335"/>
    <cellStyle name="Normal 9 7 2" xfId="28110"/>
    <cellStyle name="Normal 9 8" xfId="5991"/>
    <cellStyle name="Normal 9 8 2" xfId="28766"/>
    <cellStyle name="Normal 9 9" xfId="2383"/>
    <cellStyle name="Normal 9 9 2" xfId="25158"/>
    <cellStyle name="Note 2" xfId="51"/>
    <cellStyle name="Note 2 10" xfId="5205"/>
    <cellStyle name="Note 2 10 2" xfId="27980"/>
    <cellStyle name="Note 2 11" xfId="5861"/>
    <cellStyle name="Note 2 11 2" xfId="28636"/>
    <cellStyle name="Note 2 12" xfId="2253"/>
    <cellStyle name="Note 2 12 2" xfId="25028"/>
    <cellStyle name="Note 2 13" xfId="6517"/>
    <cellStyle name="Note 2 13 2" xfId="29292"/>
    <cellStyle name="Note 2 14" xfId="7173"/>
    <cellStyle name="Note 2 14 2" xfId="29948"/>
    <cellStyle name="Note 2 15" xfId="7829"/>
    <cellStyle name="Note 2 15 2" xfId="30604"/>
    <cellStyle name="Note 2 16" xfId="8485"/>
    <cellStyle name="Note 2 16 2" xfId="31260"/>
    <cellStyle name="Note 2 17" xfId="9141"/>
    <cellStyle name="Note 2 17 2" xfId="31916"/>
    <cellStyle name="Note 2 18" xfId="9797"/>
    <cellStyle name="Note 2 18 2" xfId="32572"/>
    <cellStyle name="Note 2 19" xfId="10453"/>
    <cellStyle name="Note 2 19 2" xfId="33228"/>
    <cellStyle name="Note 2 2" xfId="65"/>
    <cellStyle name="Note 2 2 10" xfId="2339"/>
    <cellStyle name="Note 2 2 10 2" xfId="25114"/>
    <cellStyle name="Note 2 2 11" xfId="6603"/>
    <cellStyle name="Note 2 2 11 2" xfId="29378"/>
    <cellStyle name="Note 2 2 12" xfId="7259"/>
    <cellStyle name="Note 2 2 12 2" xfId="30034"/>
    <cellStyle name="Note 2 2 13" xfId="7915"/>
    <cellStyle name="Note 2 2 13 2" xfId="30690"/>
    <cellStyle name="Note 2 2 14" xfId="8571"/>
    <cellStyle name="Note 2 2 14 2" xfId="31346"/>
    <cellStyle name="Note 2 2 15" xfId="9227"/>
    <cellStyle name="Note 2 2 15 2" xfId="32002"/>
    <cellStyle name="Note 2 2 16" xfId="9883"/>
    <cellStyle name="Note 2 2 16 2" xfId="32658"/>
    <cellStyle name="Note 2 2 17" xfId="10539"/>
    <cellStyle name="Note 2 2 17 2" xfId="33314"/>
    <cellStyle name="Note 2 2 18" xfId="11195"/>
    <cellStyle name="Note 2 2 18 2" xfId="33970"/>
    <cellStyle name="Note 2 2 19" xfId="11851"/>
    <cellStyle name="Note 2 2 19 2" xfId="34626"/>
    <cellStyle name="Note 2 2 2" xfId="555"/>
    <cellStyle name="Note 2 2 2 10" xfId="6788"/>
    <cellStyle name="Note 2 2 2 10 2" xfId="29563"/>
    <cellStyle name="Note 2 2 2 11" xfId="7444"/>
    <cellStyle name="Note 2 2 2 11 2" xfId="30219"/>
    <cellStyle name="Note 2 2 2 12" xfId="8100"/>
    <cellStyle name="Note 2 2 2 12 2" xfId="30875"/>
    <cellStyle name="Note 2 2 2 13" xfId="8756"/>
    <cellStyle name="Note 2 2 2 13 2" xfId="31531"/>
    <cellStyle name="Note 2 2 2 14" xfId="9412"/>
    <cellStyle name="Note 2 2 2 14 2" xfId="32187"/>
    <cellStyle name="Note 2 2 2 15" xfId="10068"/>
    <cellStyle name="Note 2 2 2 15 2" xfId="32843"/>
    <cellStyle name="Note 2 2 2 16" xfId="10724"/>
    <cellStyle name="Note 2 2 2 16 2" xfId="33499"/>
    <cellStyle name="Note 2 2 2 17" xfId="11380"/>
    <cellStyle name="Note 2 2 2 17 2" xfId="34155"/>
    <cellStyle name="Note 2 2 2 18" xfId="12036"/>
    <cellStyle name="Note 2 2 2 18 2" xfId="34811"/>
    <cellStyle name="Note 2 2 2 19" xfId="12692"/>
    <cellStyle name="Note 2 2 2 19 2" xfId="35467"/>
    <cellStyle name="Note 2 2 2 2" xfId="884"/>
    <cellStyle name="Note 2 2 2 2 10" xfId="8428"/>
    <cellStyle name="Note 2 2 2 2 10 2" xfId="31203"/>
    <cellStyle name="Note 2 2 2 2 11" xfId="9084"/>
    <cellStyle name="Note 2 2 2 2 11 2" xfId="31859"/>
    <cellStyle name="Note 2 2 2 2 12" xfId="9740"/>
    <cellStyle name="Note 2 2 2 2 12 2" xfId="32515"/>
    <cellStyle name="Note 2 2 2 2 13" xfId="10396"/>
    <cellStyle name="Note 2 2 2 2 13 2" xfId="33171"/>
    <cellStyle name="Note 2 2 2 2 14" xfId="11052"/>
    <cellStyle name="Note 2 2 2 2 14 2" xfId="33827"/>
    <cellStyle name="Note 2 2 2 2 15" xfId="11708"/>
    <cellStyle name="Note 2 2 2 2 15 2" xfId="34483"/>
    <cellStyle name="Note 2 2 2 2 16" xfId="12364"/>
    <cellStyle name="Note 2 2 2 2 16 2" xfId="35139"/>
    <cellStyle name="Note 2 2 2 2 17" xfId="13020"/>
    <cellStyle name="Note 2 2 2 2 17 2" xfId="35795"/>
    <cellStyle name="Note 2 2 2 2 18" xfId="13676"/>
    <cellStyle name="Note 2 2 2 2 18 2" xfId="36451"/>
    <cellStyle name="Note 2 2 2 2 19" xfId="14332"/>
    <cellStyle name="Note 2 2 2 2 19 2" xfId="37107"/>
    <cellStyle name="Note 2 2 2 2 2" xfId="1540"/>
    <cellStyle name="Note 2 2 2 2 2 2" xfId="3836"/>
    <cellStyle name="Note 2 2 2 2 2 2 2" xfId="26611"/>
    <cellStyle name="Note 2 2 2 2 2 3" xfId="24315"/>
    <cellStyle name="Note 2 2 2 2 20" xfId="14988"/>
    <cellStyle name="Note 2 2 2 2 20 2" xfId="37763"/>
    <cellStyle name="Note 2 2 2 2 21" xfId="15644"/>
    <cellStyle name="Note 2 2 2 2 21 2" xfId="38419"/>
    <cellStyle name="Note 2 2 2 2 22" xfId="16300"/>
    <cellStyle name="Note 2 2 2 2 22 2" xfId="39075"/>
    <cellStyle name="Note 2 2 2 2 23" xfId="16956"/>
    <cellStyle name="Note 2 2 2 2 23 2" xfId="39731"/>
    <cellStyle name="Note 2 2 2 2 24" xfId="17612"/>
    <cellStyle name="Note 2 2 2 2 24 2" xfId="40387"/>
    <cellStyle name="Note 2 2 2 2 25" xfId="18268"/>
    <cellStyle name="Note 2 2 2 2 25 2" xfId="41043"/>
    <cellStyle name="Note 2 2 2 2 26" xfId="18924"/>
    <cellStyle name="Note 2 2 2 2 26 2" xfId="41699"/>
    <cellStyle name="Note 2 2 2 2 27" xfId="19580"/>
    <cellStyle name="Note 2 2 2 2 27 2" xfId="42355"/>
    <cellStyle name="Note 2 2 2 2 28" xfId="20236"/>
    <cellStyle name="Note 2 2 2 2 28 2" xfId="43011"/>
    <cellStyle name="Note 2 2 2 2 29" xfId="20892"/>
    <cellStyle name="Note 2 2 2 2 29 2" xfId="43667"/>
    <cellStyle name="Note 2 2 2 2 3" xfId="2196"/>
    <cellStyle name="Note 2 2 2 2 3 2" xfId="4492"/>
    <cellStyle name="Note 2 2 2 2 3 2 2" xfId="27267"/>
    <cellStyle name="Note 2 2 2 2 3 3" xfId="24971"/>
    <cellStyle name="Note 2 2 2 2 30" xfId="21548"/>
    <cellStyle name="Note 2 2 2 2 30 2" xfId="44323"/>
    <cellStyle name="Note 2 2 2 2 31" xfId="22204"/>
    <cellStyle name="Note 2 2 2 2 31 2" xfId="44979"/>
    <cellStyle name="Note 2 2 2 2 32" xfId="22860"/>
    <cellStyle name="Note 2 2 2 2 32 2" xfId="45635"/>
    <cellStyle name="Note 2 2 2 2 33" xfId="23659"/>
    <cellStyle name="Note 2 2 2 2 4" xfId="5148"/>
    <cellStyle name="Note 2 2 2 2 4 2" xfId="27923"/>
    <cellStyle name="Note 2 2 2 2 5" xfId="5804"/>
    <cellStyle name="Note 2 2 2 2 5 2" xfId="28579"/>
    <cellStyle name="Note 2 2 2 2 6" xfId="6460"/>
    <cellStyle name="Note 2 2 2 2 6 2" xfId="29235"/>
    <cellStyle name="Note 2 2 2 2 7" xfId="3180"/>
    <cellStyle name="Note 2 2 2 2 7 2" xfId="25955"/>
    <cellStyle name="Note 2 2 2 2 8" xfId="7116"/>
    <cellStyle name="Note 2 2 2 2 8 2" xfId="29891"/>
    <cellStyle name="Note 2 2 2 2 9" xfId="7772"/>
    <cellStyle name="Note 2 2 2 2 9 2" xfId="30547"/>
    <cellStyle name="Note 2 2 2 20" xfId="13348"/>
    <cellStyle name="Note 2 2 2 20 2" xfId="36123"/>
    <cellStyle name="Note 2 2 2 21" xfId="14004"/>
    <cellStyle name="Note 2 2 2 21 2" xfId="36779"/>
    <cellStyle name="Note 2 2 2 22" xfId="14660"/>
    <cellStyle name="Note 2 2 2 22 2" xfId="37435"/>
    <cellStyle name="Note 2 2 2 23" xfId="15316"/>
    <cellStyle name="Note 2 2 2 23 2" xfId="38091"/>
    <cellStyle name="Note 2 2 2 24" xfId="15972"/>
    <cellStyle name="Note 2 2 2 24 2" xfId="38747"/>
    <cellStyle name="Note 2 2 2 25" xfId="16628"/>
    <cellStyle name="Note 2 2 2 25 2" xfId="39403"/>
    <cellStyle name="Note 2 2 2 26" xfId="17284"/>
    <cellStyle name="Note 2 2 2 26 2" xfId="40059"/>
    <cellStyle name="Note 2 2 2 27" xfId="17940"/>
    <cellStyle name="Note 2 2 2 27 2" xfId="40715"/>
    <cellStyle name="Note 2 2 2 28" xfId="18596"/>
    <cellStyle name="Note 2 2 2 28 2" xfId="41371"/>
    <cellStyle name="Note 2 2 2 29" xfId="19252"/>
    <cellStyle name="Note 2 2 2 29 2" xfId="42027"/>
    <cellStyle name="Note 2 2 2 3" xfId="1212"/>
    <cellStyle name="Note 2 2 2 3 2" xfId="2852"/>
    <cellStyle name="Note 2 2 2 3 2 2" xfId="25627"/>
    <cellStyle name="Note 2 2 2 3 3" xfId="23987"/>
    <cellStyle name="Note 2 2 2 30" xfId="19908"/>
    <cellStyle name="Note 2 2 2 30 2" xfId="42683"/>
    <cellStyle name="Note 2 2 2 31" xfId="20564"/>
    <cellStyle name="Note 2 2 2 31 2" xfId="43339"/>
    <cellStyle name="Note 2 2 2 32" xfId="21220"/>
    <cellStyle name="Note 2 2 2 32 2" xfId="43995"/>
    <cellStyle name="Note 2 2 2 33" xfId="21876"/>
    <cellStyle name="Note 2 2 2 33 2" xfId="44651"/>
    <cellStyle name="Note 2 2 2 34" xfId="22532"/>
    <cellStyle name="Note 2 2 2 34 2" xfId="45307"/>
    <cellStyle name="Note 2 2 2 35" xfId="23331"/>
    <cellStyle name="Note 2 2 2 4" xfId="1868"/>
    <cellStyle name="Note 2 2 2 4 2" xfId="3508"/>
    <cellStyle name="Note 2 2 2 4 2 2" xfId="26283"/>
    <cellStyle name="Note 2 2 2 4 3" xfId="24643"/>
    <cellStyle name="Note 2 2 2 5" xfId="4164"/>
    <cellStyle name="Note 2 2 2 5 2" xfId="26939"/>
    <cellStyle name="Note 2 2 2 6" xfId="4820"/>
    <cellStyle name="Note 2 2 2 6 2" xfId="27595"/>
    <cellStyle name="Note 2 2 2 7" xfId="5476"/>
    <cellStyle name="Note 2 2 2 7 2" xfId="28251"/>
    <cellStyle name="Note 2 2 2 8" xfId="6132"/>
    <cellStyle name="Note 2 2 2 8 2" xfId="28907"/>
    <cellStyle name="Note 2 2 2 9" xfId="2524"/>
    <cellStyle name="Note 2 2 2 9 2" xfId="25299"/>
    <cellStyle name="Note 2 2 20" xfId="12507"/>
    <cellStyle name="Note 2 2 20 2" xfId="35282"/>
    <cellStyle name="Note 2 2 21" xfId="13163"/>
    <cellStyle name="Note 2 2 21 2" xfId="35938"/>
    <cellStyle name="Note 2 2 22" xfId="13819"/>
    <cellStyle name="Note 2 2 22 2" xfId="36594"/>
    <cellStyle name="Note 2 2 23" xfId="14475"/>
    <cellStyle name="Note 2 2 23 2" xfId="37250"/>
    <cellStyle name="Note 2 2 24" xfId="15131"/>
    <cellStyle name="Note 2 2 24 2" xfId="37906"/>
    <cellStyle name="Note 2 2 25" xfId="15787"/>
    <cellStyle name="Note 2 2 25 2" xfId="38562"/>
    <cellStyle name="Note 2 2 26" xfId="16443"/>
    <cellStyle name="Note 2 2 26 2" xfId="39218"/>
    <cellStyle name="Note 2 2 27" xfId="17099"/>
    <cellStyle name="Note 2 2 27 2" xfId="39874"/>
    <cellStyle name="Note 2 2 28" xfId="17755"/>
    <cellStyle name="Note 2 2 28 2" xfId="40530"/>
    <cellStyle name="Note 2 2 29" xfId="18411"/>
    <cellStyle name="Note 2 2 29 2" xfId="41186"/>
    <cellStyle name="Note 2 2 3" xfId="699"/>
    <cellStyle name="Note 2 2 3 10" xfId="8243"/>
    <cellStyle name="Note 2 2 3 10 2" xfId="31018"/>
    <cellStyle name="Note 2 2 3 11" xfId="8899"/>
    <cellStyle name="Note 2 2 3 11 2" xfId="31674"/>
    <cellStyle name="Note 2 2 3 12" xfId="9555"/>
    <cellStyle name="Note 2 2 3 12 2" xfId="32330"/>
    <cellStyle name="Note 2 2 3 13" xfId="10211"/>
    <cellStyle name="Note 2 2 3 13 2" xfId="32986"/>
    <cellStyle name="Note 2 2 3 14" xfId="10867"/>
    <cellStyle name="Note 2 2 3 14 2" xfId="33642"/>
    <cellStyle name="Note 2 2 3 15" xfId="11523"/>
    <cellStyle name="Note 2 2 3 15 2" xfId="34298"/>
    <cellStyle name="Note 2 2 3 16" xfId="12179"/>
    <cellStyle name="Note 2 2 3 16 2" xfId="34954"/>
    <cellStyle name="Note 2 2 3 17" xfId="12835"/>
    <cellStyle name="Note 2 2 3 17 2" xfId="35610"/>
    <cellStyle name="Note 2 2 3 18" xfId="13491"/>
    <cellStyle name="Note 2 2 3 18 2" xfId="36266"/>
    <cellStyle name="Note 2 2 3 19" xfId="14147"/>
    <cellStyle name="Note 2 2 3 19 2" xfId="36922"/>
    <cellStyle name="Note 2 2 3 2" xfId="1355"/>
    <cellStyle name="Note 2 2 3 2 2" xfId="3651"/>
    <cellStyle name="Note 2 2 3 2 2 2" xfId="26426"/>
    <cellStyle name="Note 2 2 3 2 3" xfId="24130"/>
    <cellStyle name="Note 2 2 3 20" xfId="14803"/>
    <cellStyle name="Note 2 2 3 20 2" xfId="37578"/>
    <cellStyle name="Note 2 2 3 21" xfId="15459"/>
    <cellStyle name="Note 2 2 3 21 2" xfId="38234"/>
    <cellStyle name="Note 2 2 3 22" xfId="16115"/>
    <cellStyle name="Note 2 2 3 22 2" xfId="38890"/>
    <cellStyle name="Note 2 2 3 23" xfId="16771"/>
    <cellStyle name="Note 2 2 3 23 2" xfId="39546"/>
    <cellStyle name="Note 2 2 3 24" xfId="17427"/>
    <cellStyle name="Note 2 2 3 24 2" xfId="40202"/>
    <cellStyle name="Note 2 2 3 25" xfId="18083"/>
    <cellStyle name="Note 2 2 3 25 2" xfId="40858"/>
    <cellStyle name="Note 2 2 3 26" xfId="18739"/>
    <cellStyle name="Note 2 2 3 26 2" xfId="41514"/>
    <cellStyle name="Note 2 2 3 27" xfId="19395"/>
    <cellStyle name="Note 2 2 3 27 2" xfId="42170"/>
    <cellStyle name="Note 2 2 3 28" xfId="20051"/>
    <cellStyle name="Note 2 2 3 28 2" xfId="42826"/>
    <cellStyle name="Note 2 2 3 29" xfId="20707"/>
    <cellStyle name="Note 2 2 3 29 2" xfId="43482"/>
    <cellStyle name="Note 2 2 3 3" xfId="2011"/>
    <cellStyle name="Note 2 2 3 3 2" xfId="4307"/>
    <cellStyle name="Note 2 2 3 3 2 2" xfId="27082"/>
    <cellStyle name="Note 2 2 3 3 3" xfId="24786"/>
    <cellStyle name="Note 2 2 3 30" xfId="21363"/>
    <cellStyle name="Note 2 2 3 30 2" xfId="44138"/>
    <cellStyle name="Note 2 2 3 31" xfId="22019"/>
    <cellStyle name="Note 2 2 3 31 2" xfId="44794"/>
    <cellStyle name="Note 2 2 3 32" xfId="22675"/>
    <cellStyle name="Note 2 2 3 32 2" xfId="45450"/>
    <cellStyle name="Note 2 2 3 33" xfId="23474"/>
    <cellStyle name="Note 2 2 3 4" xfId="4963"/>
    <cellStyle name="Note 2 2 3 4 2" xfId="27738"/>
    <cellStyle name="Note 2 2 3 5" xfId="5619"/>
    <cellStyle name="Note 2 2 3 5 2" xfId="28394"/>
    <cellStyle name="Note 2 2 3 6" xfId="6275"/>
    <cellStyle name="Note 2 2 3 6 2" xfId="29050"/>
    <cellStyle name="Note 2 2 3 7" xfId="2995"/>
    <cellStyle name="Note 2 2 3 7 2" xfId="25770"/>
    <cellStyle name="Note 2 2 3 8" xfId="6931"/>
    <cellStyle name="Note 2 2 3 8 2" xfId="29706"/>
    <cellStyle name="Note 2 2 3 9" xfId="7587"/>
    <cellStyle name="Note 2 2 3 9 2" xfId="30362"/>
    <cellStyle name="Note 2 2 30" xfId="19067"/>
    <cellStyle name="Note 2 2 30 2" xfId="41842"/>
    <cellStyle name="Note 2 2 31" xfId="19723"/>
    <cellStyle name="Note 2 2 31 2" xfId="42498"/>
    <cellStyle name="Note 2 2 32" xfId="20379"/>
    <cellStyle name="Note 2 2 32 2" xfId="43154"/>
    <cellStyle name="Note 2 2 33" xfId="21035"/>
    <cellStyle name="Note 2 2 33 2" xfId="43810"/>
    <cellStyle name="Note 2 2 34" xfId="21691"/>
    <cellStyle name="Note 2 2 34 2" xfId="44466"/>
    <cellStyle name="Note 2 2 35" xfId="22347"/>
    <cellStyle name="Note 2 2 35 2" xfId="45122"/>
    <cellStyle name="Note 2 2 36" xfId="272"/>
    <cellStyle name="Note 2 2 37" xfId="23003"/>
    <cellStyle name="Note 2 2 4" xfId="372"/>
    <cellStyle name="Note 2 2 4 2" xfId="2667"/>
    <cellStyle name="Note 2 2 4 2 2" xfId="25442"/>
    <cellStyle name="Note 2 2 4 3" xfId="23146"/>
    <cellStyle name="Note 2 2 5" xfId="1027"/>
    <cellStyle name="Note 2 2 5 2" xfId="3323"/>
    <cellStyle name="Note 2 2 5 2 2" xfId="26098"/>
    <cellStyle name="Note 2 2 5 3" xfId="23802"/>
    <cellStyle name="Note 2 2 6" xfId="1683"/>
    <cellStyle name="Note 2 2 6 2" xfId="3979"/>
    <cellStyle name="Note 2 2 6 2 2" xfId="26754"/>
    <cellStyle name="Note 2 2 6 3" xfId="24458"/>
    <cellStyle name="Note 2 2 7" xfId="4635"/>
    <cellStyle name="Note 2 2 7 2" xfId="27410"/>
    <cellStyle name="Note 2 2 8" xfId="5291"/>
    <cellStyle name="Note 2 2 8 2" xfId="28066"/>
    <cellStyle name="Note 2 2 9" xfId="5947"/>
    <cellStyle name="Note 2 2 9 2" xfId="28722"/>
    <cellStyle name="Note 2 20" xfId="11109"/>
    <cellStyle name="Note 2 20 2" xfId="33884"/>
    <cellStyle name="Note 2 21" xfId="11765"/>
    <cellStyle name="Note 2 21 2" xfId="34540"/>
    <cellStyle name="Note 2 22" xfId="12421"/>
    <cellStyle name="Note 2 22 2" xfId="35196"/>
    <cellStyle name="Note 2 23" xfId="13077"/>
    <cellStyle name="Note 2 23 2" xfId="35852"/>
    <cellStyle name="Note 2 24" xfId="13733"/>
    <cellStyle name="Note 2 24 2" xfId="36508"/>
    <cellStyle name="Note 2 25" xfId="14389"/>
    <cellStyle name="Note 2 25 2" xfId="37164"/>
    <cellStyle name="Note 2 26" xfId="15045"/>
    <cellStyle name="Note 2 26 2" xfId="37820"/>
    <cellStyle name="Note 2 27" xfId="15701"/>
    <cellStyle name="Note 2 27 2" xfId="38476"/>
    <cellStyle name="Note 2 28" xfId="16357"/>
    <cellStyle name="Note 2 28 2" xfId="39132"/>
    <cellStyle name="Note 2 29" xfId="17013"/>
    <cellStyle name="Note 2 29 2" xfId="39788"/>
    <cellStyle name="Note 2 3" xfId="129"/>
    <cellStyle name="Note 2 3 10" xfId="2325"/>
    <cellStyle name="Note 2 3 10 2" xfId="25100"/>
    <cellStyle name="Note 2 3 11" xfId="6589"/>
    <cellStyle name="Note 2 3 11 2" xfId="29364"/>
    <cellStyle name="Note 2 3 12" xfId="7245"/>
    <cellStyle name="Note 2 3 12 2" xfId="30020"/>
    <cellStyle name="Note 2 3 13" xfId="7901"/>
    <cellStyle name="Note 2 3 13 2" xfId="30676"/>
    <cellStyle name="Note 2 3 14" xfId="8557"/>
    <cellStyle name="Note 2 3 14 2" xfId="31332"/>
    <cellStyle name="Note 2 3 15" xfId="9213"/>
    <cellStyle name="Note 2 3 15 2" xfId="31988"/>
    <cellStyle name="Note 2 3 16" xfId="9869"/>
    <cellStyle name="Note 2 3 16 2" xfId="32644"/>
    <cellStyle name="Note 2 3 17" xfId="10525"/>
    <cellStyle name="Note 2 3 17 2" xfId="33300"/>
    <cellStyle name="Note 2 3 18" xfId="11181"/>
    <cellStyle name="Note 2 3 18 2" xfId="33956"/>
    <cellStyle name="Note 2 3 19" xfId="11837"/>
    <cellStyle name="Note 2 3 19 2" xfId="34612"/>
    <cellStyle name="Note 2 3 2" xfId="541"/>
    <cellStyle name="Note 2 3 2 10" xfId="6774"/>
    <cellStyle name="Note 2 3 2 10 2" xfId="29549"/>
    <cellStyle name="Note 2 3 2 11" xfId="7430"/>
    <cellStyle name="Note 2 3 2 11 2" xfId="30205"/>
    <cellStyle name="Note 2 3 2 12" xfId="8086"/>
    <cellStyle name="Note 2 3 2 12 2" xfId="30861"/>
    <cellStyle name="Note 2 3 2 13" xfId="8742"/>
    <cellStyle name="Note 2 3 2 13 2" xfId="31517"/>
    <cellStyle name="Note 2 3 2 14" xfId="9398"/>
    <cellStyle name="Note 2 3 2 14 2" xfId="32173"/>
    <cellStyle name="Note 2 3 2 15" xfId="10054"/>
    <cellStyle name="Note 2 3 2 15 2" xfId="32829"/>
    <cellStyle name="Note 2 3 2 16" xfId="10710"/>
    <cellStyle name="Note 2 3 2 16 2" xfId="33485"/>
    <cellStyle name="Note 2 3 2 17" xfId="11366"/>
    <cellStyle name="Note 2 3 2 17 2" xfId="34141"/>
    <cellStyle name="Note 2 3 2 18" xfId="12022"/>
    <cellStyle name="Note 2 3 2 18 2" xfId="34797"/>
    <cellStyle name="Note 2 3 2 19" xfId="12678"/>
    <cellStyle name="Note 2 3 2 19 2" xfId="35453"/>
    <cellStyle name="Note 2 3 2 2" xfId="870"/>
    <cellStyle name="Note 2 3 2 2 10" xfId="8414"/>
    <cellStyle name="Note 2 3 2 2 10 2" xfId="31189"/>
    <cellStyle name="Note 2 3 2 2 11" xfId="9070"/>
    <cellStyle name="Note 2 3 2 2 11 2" xfId="31845"/>
    <cellStyle name="Note 2 3 2 2 12" xfId="9726"/>
    <cellStyle name="Note 2 3 2 2 12 2" xfId="32501"/>
    <cellStyle name="Note 2 3 2 2 13" xfId="10382"/>
    <cellStyle name="Note 2 3 2 2 13 2" xfId="33157"/>
    <cellStyle name="Note 2 3 2 2 14" xfId="11038"/>
    <cellStyle name="Note 2 3 2 2 14 2" xfId="33813"/>
    <cellStyle name="Note 2 3 2 2 15" xfId="11694"/>
    <cellStyle name="Note 2 3 2 2 15 2" xfId="34469"/>
    <cellStyle name="Note 2 3 2 2 16" xfId="12350"/>
    <cellStyle name="Note 2 3 2 2 16 2" xfId="35125"/>
    <cellStyle name="Note 2 3 2 2 17" xfId="13006"/>
    <cellStyle name="Note 2 3 2 2 17 2" xfId="35781"/>
    <cellStyle name="Note 2 3 2 2 18" xfId="13662"/>
    <cellStyle name="Note 2 3 2 2 18 2" xfId="36437"/>
    <cellStyle name="Note 2 3 2 2 19" xfId="14318"/>
    <cellStyle name="Note 2 3 2 2 19 2" xfId="37093"/>
    <cellStyle name="Note 2 3 2 2 2" xfId="1526"/>
    <cellStyle name="Note 2 3 2 2 2 2" xfId="3822"/>
    <cellStyle name="Note 2 3 2 2 2 2 2" xfId="26597"/>
    <cellStyle name="Note 2 3 2 2 2 3" xfId="24301"/>
    <cellStyle name="Note 2 3 2 2 20" xfId="14974"/>
    <cellStyle name="Note 2 3 2 2 20 2" xfId="37749"/>
    <cellStyle name="Note 2 3 2 2 21" xfId="15630"/>
    <cellStyle name="Note 2 3 2 2 21 2" xfId="38405"/>
    <cellStyle name="Note 2 3 2 2 22" xfId="16286"/>
    <cellStyle name="Note 2 3 2 2 22 2" xfId="39061"/>
    <cellStyle name="Note 2 3 2 2 23" xfId="16942"/>
    <cellStyle name="Note 2 3 2 2 23 2" xfId="39717"/>
    <cellStyle name="Note 2 3 2 2 24" xfId="17598"/>
    <cellStyle name="Note 2 3 2 2 24 2" xfId="40373"/>
    <cellStyle name="Note 2 3 2 2 25" xfId="18254"/>
    <cellStyle name="Note 2 3 2 2 25 2" xfId="41029"/>
    <cellStyle name="Note 2 3 2 2 26" xfId="18910"/>
    <cellStyle name="Note 2 3 2 2 26 2" xfId="41685"/>
    <cellStyle name="Note 2 3 2 2 27" xfId="19566"/>
    <cellStyle name="Note 2 3 2 2 27 2" xfId="42341"/>
    <cellStyle name="Note 2 3 2 2 28" xfId="20222"/>
    <cellStyle name="Note 2 3 2 2 28 2" xfId="42997"/>
    <cellStyle name="Note 2 3 2 2 29" xfId="20878"/>
    <cellStyle name="Note 2 3 2 2 29 2" xfId="43653"/>
    <cellStyle name="Note 2 3 2 2 3" xfId="2182"/>
    <cellStyle name="Note 2 3 2 2 3 2" xfId="4478"/>
    <cellStyle name="Note 2 3 2 2 3 2 2" xfId="27253"/>
    <cellStyle name="Note 2 3 2 2 3 3" xfId="24957"/>
    <cellStyle name="Note 2 3 2 2 30" xfId="21534"/>
    <cellStyle name="Note 2 3 2 2 30 2" xfId="44309"/>
    <cellStyle name="Note 2 3 2 2 31" xfId="22190"/>
    <cellStyle name="Note 2 3 2 2 31 2" xfId="44965"/>
    <cellStyle name="Note 2 3 2 2 32" xfId="22846"/>
    <cellStyle name="Note 2 3 2 2 32 2" xfId="45621"/>
    <cellStyle name="Note 2 3 2 2 33" xfId="23645"/>
    <cellStyle name="Note 2 3 2 2 4" xfId="5134"/>
    <cellStyle name="Note 2 3 2 2 4 2" xfId="27909"/>
    <cellStyle name="Note 2 3 2 2 5" xfId="5790"/>
    <cellStyle name="Note 2 3 2 2 5 2" xfId="28565"/>
    <cellStyle name="Note 2 3 2 2 6" xfId="6446"/>
    <cellStyle name="Note 2 3 2 2 6 2" xfId="29221"/>
    <cellStyle name="Note 2 3 2 2 7" xfId="3166"/>
    <cellStyle name="Note 2 3 2 2 7 2" xfId="25941"/>
    <cellStyle name="Note 2 3 2 2 8" xfId="7102"/>
    <cellStyle name="Note 2 3 2 2 8 2" xfId="29877"/>
    <cellStyle name="Note 2 3 2 2 9" xfId="7758"/>
    <cellStyle name="Note 2 3 2 2 9 2" xfId="30533"/>
    <cellStyle name="Note 2 3 2 20" xfId="13334"/>
    <cellStyle name="Note 2 3 2 20 2" xfId="36109"/>
    <cellStyle name="Note 2 3 2 21" xfId="13990"/>
    <cellStyle name="Note 2 3 2 21 2" xfId="36765"/>
    <cellStyle name="Note 2 3 2 22" xfId="14646"/>
    <cellStyle name="Note 2 3 2 22 2" xfId="37421"/>
    <cellStyle name="Note 2 3 2 23" xfId="15302"/>
    <cellStyle name="Note 2 3 2 23 2" xfId="38077"/>
    <cellStyle name="Note 2 3 2 24" xfId="15958"/>
    <cellStyle name="Note 2 3 2 24 2" xfId="38733"/>
    <cellStyle name="Note 2 3 2 25" xfId="16614"/>
    <cellStyle name="Note 2 3 2 25 2" xfId="39389"/>
    <cellStyle name="Note 2 3 2 26" xfId="17270"/>
    <cellStyle name="Note 2 3 2 26 2" xfId="40045"/>
    <cellStyle name="Note 2 3 2 27" xfId="17926"/>
    <cellStyle name="Note 2 3 2 27 2" xfId="40701"/>
    <cellStyle name="Note 2 3 2 28" xfId="18582"/>
    <cellStyle name="Note 2 3 2 28 2" xfId="41357"/>
    <cellStyle name="Note 2 3 2 29" xfId="19238"/>
    <cellStyle name="Note 2 3 2 29 2" xfId="42013"/>
    <cellStyle name="Note 2 3 2 3" xfId="1198"/>
    <cellStyle name="Note 2 3 2 3 2" xfId="2838"/>
    <cellStyle name="Note 2 3 2 3 2 2" xfId="25613"/>
    <cellStyle name="Note 2 3 2 3 3" xfId="23973"/>
    <cellStyle name="Note 2 3 2 30" xfId="19894"/>
    <cellStyle name="Note 2 3 2 30 2" xfId="42669"/>
    <cellStyle name="Note 2 3 2 31" xfId="20550"/>
    <cellStyle name="Note 2 3 2 31 2" xfId="43325"/>
    <cellStyle name="Note 2 3 2 32" xfId="21206"/>
    <cellStyle name="Note 2 3 2 32 2" xfId="43981"/>
    <cellStyle name="Note 2 3 2 33" xfId="21862"/>
    <cellStyle name="Note 2 3 2 33 2" xfId="44637"/>
    <cellStyle name="Note 2 3 2 34" xfId="22518"/>
    <cellStyle name="Note 2 3 2 34 2" xfId="45293"/>
    <cellStyle name="Note 2 3 2 35" xfId="23317"/>
    <cellStyle name="Note 2 3 2 4" xfId="1854"/>
    <cellStyle name="Note 2 3 2 4 2" xfId="3494"/>
    <cellStyle name="Note 2 3 2 4 2 2" xfId="26269"/>
    <cellStyle name="Note 2 3 2 4 3" xfId="24629"/>
    <cellStyle name="Note 2 3 2 5" xfId="4150"/>
    <cellStyle name="Note 2 3 2 5 2" xfId="26925"/>
    <cellStyle name="Note 2 3 2 6" xfId="4806"/>
    <cellStyle name="Note 2 3 2 6 2" xfId="27581"/>
    <cellStyle name="Note 2 3 2 7" xfId="5462"/>
    <cellStyle name="Note 2 3 2 7 2" xfId="28237"/>
    <cellStyle name="Note 2 3 2 8" xfId="6118"/>
    <cellStyle name="Note 2 3 2 8 2" xfId="28893"/>
    <cellStyle name="Note 2 3 2 9" xfId="2510"/>
    <cellStyle name="Note 2 3 2 9 2" xfId="25285"/>
    <cellStyle name="Note 2 3 20" xfId="12493"/>
    <cellStyle name="Note 2 3 20 2" xfId="35268"/>
    <cellStyle name="Note 2 3 21" xfId="13149"/>
    <cellStyle name="Note 2 3 21 2" xfId="35924"/>
    <cellStyle name="Note 2 3 22" xfId="13805"/>
    <cellStyle name="Note 2 3 22 2" xfId="36580"/>
    <cellStyle name="Note 2 3 23" xfId="14461"/>
    <cellStyle name="Note 2 3 23 2" xfId="37236"/>
    <cellStyle name="Note 2 3 24" xfId="15117"/>
    <cellStyle name="Note 2 3 24 2" xfId="37892"/>
    <cellStyle name="Note 2 3 25" xfId="15773"/>
    <cellStyle name="Note 2 3 25 2" xfId="38548"/>
    <cellStyle name="Note 2 3 26" xfId="16429"/>
    <cellStyle name="Note 2 3 26 2" xfId="39204"/>
    <cellStyle name="Note 2 3 27" xfId="17085"/>
    <cellStyle name="Note 2 3 27 2" xfId="39860"/>
    <cellStyle name="Note 2 3 28" xfId="17741"/>
    <cellStyle name="Note 2 3 28 2" xfId="40516"/>
    <cellStyle name="Note 2 3 29" xfId="18397"/>
    <cellStyle name="Note 2 3 29 2" xfId="41172"/>
    <cellStyle name="Note 2 3 3" xfId="685"/>
    <cellStyle name="Note 2 3 3 10" xfId="8229"/>
    <cellStyle name="Note 2 3 3 10 2" xfId="31004"/>
    <cellStyle name="Note 2 3 3 11" xfId="8885"/>
    <cellStyle name="Note 2 3 3 11 2" xfId="31660"/>
    <cellStyle name="Note 2 3 3 12" xfId="9541"/>
    <cellStyle name="Note 2 3 3 12 2" xfId="32316"/>
    <cellStyle name="Note 2 3 3 13" xfId="10197"/>
    <cellStyle name="Note 2 3 3 13 2" xfId="32972"/>
    <cellStyle name="Note 2 3 3 14" xfId="10853"/>
    <cellStyle name="Note 2 3 3 14 2" xfId="33628"/>
    <cellStyle name="Note 2 3 3 15" xfId="11509"/>
    <cellStyle name="Note 2 3 3 15 2" xfId="34284"/>
    <cellStyle name="Note 2 3 3 16" xfId="12165"/>
    <cellStyle name="Note 2 3 3 16 2" xfId="34940"/>
    <cellStyle name="Note 2 3 3 17" xfId="12821"/>
    <cellStyle name="Note 2 3 3 17 2" xfId="35596"/>
    <cellStyle name="Note 2 3 3 18" xfId="13477"/>
    <cellStyle name="Note 2 3 3 18 2" xfId="36252"/>
    <cellStyle name="Note 2 3 3 19" xfId="14133"/>
    <cellStyle name="Note 2 3 3 19 2" xfId="36908"/>
    <cellStyle name="Note 2 3 3 2" xfId="1341"/>
    <cellStyle name="Note 2 3 3 2 2" xfId="3637"/>
    <cellStyle name="Note 2 3 3 2 2 2" xfId="26412"/>
    <cellStyle name="Note 2 3 3 2 3" xfId="24116"/>
    <cellStyle name="Note 2 3 3 20" xfId="14789"/>
    <cellStyle name="Note 2 3 3 20 2" xfId="37564"/>
    <cellStyle name="Note 2 3 3 21" xfId="15445"/>
    <cellStyle name="Note 2 3 3 21 2" xfId="38220"/>
    <cellStyle name="Note 2 3 3 22" xfId="16101"/>
    <cellStyle name="Note 2 3 3 22 2" xfId="38876"/>
    <cellStyle name="Note 2 3 3 23" xfId="16757"/>
    <cellStyle name="Note 2 3 3 23 2" xfId="39532"/>
    <cellStyle name="Note 2 3 3 24" xfId="17413"/>
    <cellStyle name="Note 2 3 3 24 2" xfId="40188"/>
    <cellStyle name="Note 2 3 3 25" xfId="18069"/>
    <cellStyle name="Note 2 3 3 25 2" xfId="40844"/>
    <cellStyle name="Note 2 3 3 26" xfId="18725"/>
    <cellStyle name="Note 2 3 3 26 2" xfId="41500"/>
    <cellStyle name="Note 2 3 3 27" xfId="19381"/>
    <cellStyle name="Note 2 3 3 27 2" xfId="42156"/>
    <cellStyle name="Note 2 3 3 28" xfId="20037"/>
    <cellStyle name="Note 2 3 3 28 2" xfId="42812"/>
    <cellStyle name="Note 2 3 3 29" xfId="20693"/>
    <cellStyle name="Note 2 3 3 29 2" xfId="43468"/>
    <cellStyle name="Note 2 3 3 3" xfId="1997"/>
    <cellStyle name="Note 2 3 3 3 2" xfId="4293"/>
    <cellStyle name="Note 2 3 3 3 2 2" xfId="27068"/>
    <cellStyle name="Note 2 3 3 3 3" xfId="24772"/>
    <cellStyle name="Note 2 3 3 30" xfId="21349"/>
    <cellStyle name="Note 2 3 3 30 2" xfId="44124"/>
    <cellStyle name="Note 2 3 3 31" xfId="22005"/>
    <cellStyle name="Note 2 3 3 31 2" xfId="44780"/>
    <cellStyle name="Note 2 3 3 32" xfId="22661"/>
    <cellStyle name="Note 2 3 3 32 2" xfId="45436"/>
    <cellStyle name="Note 2 3 3 33" xfId="23460"/>
    <cellStyle name="Note 2 3 3 4" xfId="4949"/>
    <cellStyle name="Note 2 3 3 4 2" xfId="27724"/>
    <cellStyle name="Note 2 3 3 5" xfId="5605"/>
    <cellStyle name="Note 2 3 3 5 2" xfId="28380"/>
    <cellStyle name="Note 2 3 3 6" xfId="6261"/>
    <cellStyle name="Note 2 3 3 6 2" xfId="29036"/>
    <cellStyle name="Note 2 3 3 7" xfId="2981"/>
    <cellStyle name="Note 2 3 3 7 2" xfId="25756"/>
    <cellStyle name="Note 2 3 3 8" xfId="6917"/>
    <cellStyle name="Note 2 3 3 8 2" xfId="29692"/>
    <cellStyle name="Note 2 3 3 9" xfId="7573"/>
    <cellStyle name="Note 2 3 3 9 2" xfId="30348"/>
    <cellStyle name="Note 2 3 30" xfId="19053"/>
    <cellStyle name="Note 2 3 30 2" xfId="41828"/>
    <cellStyle name="Note 2 3 31" xfId="19709"/>
    <cellStyle name="Note 2 3 31 2" xfId="42484"/>
    <cellStyle name="Note 2 3 32" xfId="20365"/>
    <cellStyle name="Note 2 3 32 2" xfId="43140"/>
    <cellStyle name="Note 2 3 33" xfId="21021"/>
    <cellStyle name="Note 2 3 33 2" xfId="43796"/>
    <cellStyle name="Note 2 3 34" xfId="21677"/>
    <cellStyle name="Note 2 3 34 2" xfId="44452"/>
    <cellStyle name="Note 2 3 35" xfId="22333"/>
    <cellStyle name="Note 2 3 35 2" xfId="45108"/>
    <cellStyle name="Note 2 3 36" xfId="22989"/>
    <cellStyle name="Note 2 3 4" xfId="358"/>
    <cellStyle name="Note 2 3 4 2" xfId="2653"/>
    <cellStyle name="Note 2 3 4 2 2" xfId="25428"/>
    <cellStyle name="Note 2 3 4 3" xfId="23132"/>
    <cellStyle name="Note 2 3 5" xfId="1013"/>
    <cellStyle name="Note 2 3 5 2" xfId="3309"/>
    <cellStyle name="Note 2 3 5 2 2" xfId="26084"/>
    <cellStyle name="Note 2 3 5 3" xfId="23788"/>
    <cellStyle name="Note 2 3 6" xfId="1669"/>
    <cellStyle name="Note 2 3 6 2" xfId="3965"/>
    <cellStyle name="Note 2 3 6 2 2" xfId="26740"/>
    <cellStyle name="Note 2 3 6 3" xfId="24444"/>
    <cellStyle name="Note 2 3 7" xfId="4621"/>
    <cellStyle name="Note 2 3 7 2" xfId="27396"/>
    <cellStyle name="Note 2 3 8" xfId="5277"/>
    <cellStyle name="Note 2 3 8 2" xfId="28052"/>
    <cellStyle name="Note 2 3 9" xfId="5933"/>
    <cellStyle name="Note 2 3 9 2" xfId="28708"/>
    <cellStyle name="Note 2 30" xfId="17669"/>
    <cellStyle name="Note 2 30 2" xfId="40444"/>
    <cellStyle name="Note 2 31" xfId="18325"/>
    <cellStyle name="Note 2 31 2" xfId="41100"/>
    <cellStyle name="Note 2 32" xfId="18981"/>
    <cellStyle name="Note 2 32 2" xfId="41756"/>
    <cellStyle name="Note 2 33" xfId="19637"/>
    <cellStyle name="Note 2 33 2" xfId="42412"/>
    <cellStyle name="Note 2 34" xfId="20293"/>
    <cellStyle name="Note 2 34 2" xfId="43068"/>
    <cellStyle name="Note 2 35" xfId="20949"/>
    <cellStyle name="Note 2 35 2" xfId="43724"/>
    <cellStyle name="Note 2 36" xfId="21605"/>
    <cellStyle name="Note 2 36 2" xfId="44380"/>
    <cellStyle name="Note 2 37" xfId="22261"/>
    <cellStyle name="Note 2 37 2" xfId="45036"/>
    <cellStyle name="Note 2 38" xfId="200"/>
    <cellStyle name="Note 2 39" xfId="22917"/>
    <cellStyle name="Note 2 4" xfId="471"/>
    <cellStyle name="Note 2 4 10" xfId="6702"/>
    <cellStyle name="Note 2 4 10 2" xfId="29477"/>
    <cellStyle name="Note 2 4 11" xfId="7358"/>
    <cellStyle name="Note 2 4 11 2" xfId="30133"/>
    <cellStyle name="Note 2 4 12" xfId="8014"/>
    <cellStyle name="Note 2 4 12 2" xfId="30789"/>
    <cellStyle name="Note 2 4 13" xfId="8670"/>
    <cellStyle name="Note 2 4 13 2" xfId="31445"/>
    <cellStyle name="Note 2 4 14" xfId="9326"/>
    <cellStyle name="Note 2 4 14 2" xfId="32101"/>
    <cellStyle name="Note 2 4 15" xfId="9982"/>
    <cellStyle name="Note 2 4 15 2" xfId="32757"/>
    <cellStyle name="Note 2 4 16" xfId="10638"/>
    <cellStyle name="Note 2 4 16 2" xfId="33413"/>
    <cellStyle name="Note 2 4 17" xfId="11294"/>
    <cellStyle name="Note 2 4 17 2" xfId="34069"/>
    <cellStyle name="Note 2 4 18" xfId="11950"/>
    <cellStyle name="Note 2 4 18 2" xfId="34725"/>
    <cellStyle name="Note 2 4 19" xfId="12606"/>
    <cellStyle name="Note 2 4 19 2" xfId="35381"/>
    <cellStyle name="Note 2 4 2" xfId="798"/>
    <cellStyle name="Note 2 4 2 10" xfId="8342"/>
    <cellStyle name="Note 2 4 2 10 2" xfId="31117"/>
    <cellStyle name="Note 2 4 2 11" xfId="8998"/>
    <cellStyle name="Note 2 4 2 11 2" xfId="31773"/>
    <cellStyle name="Note 2 4 2 12" xfId="9654"/>
    <cellStyle name="Note 2 4 2 12 2" xfId="32429"/>
    <cellStyle name="Note 2 4 2 13" xfId="10310"/>
    <cellStyle name="Note 2 4 2 13 2" xfId="33085"/>
    <cellStyle name="Note 2 4 2 14" xfId="10966"/>
    <cellStyle name="Note 2 4 2 14 2" xfId="33741"/>
    <cellStyle name="Note 2 4 2 15" xfId="11622"/>
    <cellStyle name="Note 2 4 2 15 2" xfId="34397"/>
    <cellStyle name="Note 2 4 2 16" xfId="12278"/>
    <cellStyle name="Note 2 4 2 16 2" xfId="35053"/>
    <cellStyle name="Note 2 4 2 17" xfId="12934"/>
    <cellStyle name="Note 2 4 2 17 2" xfId="35709"/>
    <cellStyle name="Note 2 4 2 18" xfId="13590"/>
    <cellStyle name="Note 2 4 2 18 2" xfId="36365"/>
    <cellStyle name="Note 2 4 2 19" xfId="14246"/>
    <cellStyle name="Note 2 4 2 19 2" xfId="37021"/>
    <cellStyle name="Note 2 4 2 2" xfId="1454"/>
    <cellStyle name="Note 2 4 2 2 2" xfId="3750"/>
    <cellStyle name="Note 2 4 2 2 2 2" xfId="26525"/>
    <cellStyle name="Note 2 4 2 2 3" xfId="24229"/>
    <cellStyle name="Note 2 4 2 20" xfId="14902"/>
    <cellStyle name="Note 2 4 2 20 2" xfId="37677"/>
    <cellStyle name="Note 2 4 2 21" xfId="15558"/>
    <cellStyle name="Note 2 4 2 21 2" xfId="38333"/>
    <cellStyle name="Note 2 4 2 22" xfId="16214"/>
    <cellStyle name="Note 2 4 2 22 2" xfId="38989"/>
    <cellStyle name="Note 2 4 2 23" xfId="16870"/>
    <cellStyle name="Note 2 4 2 23 2" xfId="39645"/>
    <cellStyle name="Note 2 4 2 24" xfId="17526"/>
    <cellStyle name="Note 2 4 2 24 2" xfId="40301"/>
    <cellStyle name="Note 2 4 2 25" xfId="18182"/>
    <cellStyle name="Note 2 4 2 25 2" xfId="40957"/>
    <cellStyle name="Note 2 4 2 26" xfId="18838"/>
    <cellStyle name="Note 2 4 2 26 2" xfId="41613"/>
    <cellStyle name="Note 2 4 2 27" xfId="19494"/>
    <cellStyle name="Note 2 4 2 27 2" xfId="42269"/>
    <cellStyle name="Note 2 4 2 28" xfId="20150"/>
    <cellStyle name="Note 2 4 2 28 2" xfId="42925"/>
    <cellStyle name="Note 2 4 2 29" xfId="20806"/>
    <cellStyle name="Note 2 4 2 29 2" xfId="43581"/>
    <cellStyle name="Note 2 4 2 3" xfId="2110"/>
    <cellStyle name="Note 2 4 2 3 2" xfId="4406"/>
    <cellStyle name="Note 2 4 2 3 2 2" xfId="27181"/>
    <cellStyle name="Note 2 4 2 3 3" xfId="24885"/>
    <cellStyle name="Note 2 4 2 30" xfId="21462"/>
    <cellStyle name="Note 2 4 2 30 2" xfId="44237"/>
    <cellStyle name="Note 2 4 2 31" xfId="22118"/>
    <cellStyle name="Note 2 4 2 31 2" xfId="44893"/>
    <cellStyle name="Note 2 4 2 32" xfId="22774"/>
    <cellStyle name="Note 2 4 2 32 2" xfId="45549"/>
    <cellStyle name="Note 2 4 2 33" xfId="23573"/>
    <cellStyle name="Note 2 4 2 4" xfId="5062"/>
    <cellStyle name="Note 2 4 2 4 2" xfId="27837"/>
    <cellStyle name="Note 2 4 2 5" xfId="5718"/>
    <cellStyle name="Note 2 4 2 5 2" xfId="28493"/>
    <cellStyle name="Note 2 4 2 6" xfId="6374"/>
    <cellStyle name="Note 2 4 2 6 2" xfId="29149"/>
    <cellStyle name="Note 2 4 2 7" xfId="3094"/>
    <cellStyle name="Note 2 4 2 7 2" xfId="25869"/>
    <cellStyle name="Note 2 4 2 8" xfId="7030"/>
    <cellStyle name="Note 2 4 2 8 2" xfId="29805"/>
    <cellStyle name="Note 2 4 2 9" xfId="7686"/>
    <cellStyle name="Note 2 4 2 9 2" xfId="30461"/>
    <cellStyle name="Note 2 4 20" xfId="13262"/>
    <cellStyle name="Note 2 4 20 2" xfId="36037"/>
    <cellStyle name="Note 2 4 21" xfId="13918"/>
    <cellStyle name="Note 2 4 21 2" xfId="36693"/>
    <cellStyle name="Note 2 4 22" xfId="14574"/>
    <cellStyle name="Note 2 4 22 2" xfId="37349"/>
    <cellStyle name="Note 2 4 23" xfId="15230"/>
    <cellStyle name="Note 2 4 23 2" xfId="38005"/>
    <cellStyle name="Note 2 4 24" xfId="15886"/>
    <cellStyle name="Note 2 4 24 2" xfId="38661"/>
    <cellStyle name="Note 2 4 25" xfId="16542"/>
    <cellStyle name="Note 2 4 25 2" xfId="39317"/>
    <cellStyle name="Note 2 4 26" xfId="17198"/>
    <cellStyle name="Note 2 4 26 2" xfId="39973"/>
    <cellStyle name="Note 2 4 27" xfId="17854"/>
    <cellStyle name="Note 2 4 27 2" xfId="40629"/>
    <cellStyle name="Note 2 4 28" xfId="18510"/>
    <cellStyle name="Note 2 4 28 2" xfId="41285"/>
    <cellStyle name="Note 2 4 29" xfId="19166"/>
    <cellStyle name="Note 2 4 29 2" xfId="41941"/>
    <cellStyle name="Note 2 4 3" xfId="1126"/>
    <cellStyle name="Note 2 4 3 2" xfId="2766"/>
    <cellStyle name="Note 2 4 3 2 2" xfId="25541"/>
    <cellStyle name="Note 2 4 3 3" xfId="23901"/>
    <cellStyle name="Note 2 4 30" xfId="19822"/>
    <cellStyle name="Note 2 4 30 2" xfId="42597"/>
    <cellStyle name="Note 2 4 31" xfId="20478"/>
    <cellStyle name="Note 2 4 31 2" xfId="43253"/>
    <cellStyle name="Note 2 4 32" xfId="21134"/>
    <cellStyle name="Note 2 4 32 2" xfId="43909"/>
    <cellStyle name="Note 2 4 33" xfId="21790"/>
    <cellStyle name="Note 2 4 33 2" xfId="44565"/>
    <cellStyle name="Note 2 4 34" xfId="22446"/>
    <cellStyle name="Note 2 4 34 2" xfId="45221"/>
    <cellStyle name="Note 2 4 35" xfId="23245"/>
    <cellStyle name="Note 2 4 4" xfId="1782"/>
    <cellStyle name="Note 2 4 4 2" xfId="3422"/>
    <cellStyle name="Note 2 4 4 2 2" xfId="26197"/>
    <cellStyle name="Note 2 4 4 3" xfId="24557"/>
    <cellStyle name="Note 2 4 5" xfId="4078"/>
    <cellStyle name="Note 2 4 5 2" xfId="26853"/>
    <cellStyle name="Note 2 4 6" xfId="4734"/>
    <cellStyle name="Note 2 4 6 2" xfId="27509"/>
    <cellStyle name="Note 2 4 7" xfId="5390"/>
    <cellStyle name="Note 2 4 7 2" xfId="28165"/>
    <cellStyle name="Note 2 4 8" xfId="6046"/>
    <cellStyle name="Note 2 4 8 2" xfId="28821"/>
    <cellStyle name="Note 2 4 9" xfId="2438"/>
    <cellStyle name="Note 2 4 9 2" xfId="25213"/>
    <cellStyle name="Note 2 5" xfId="613"/>
    <cellStyle name="Note 2 5 10" xfId="8157"/>
    <cellStyle name="Note 2 5 10 2" xfId="30932"/>
    <cellStyle name="Note 2 5 11" xfId="8813"/>
    <cellStyle name="Note 2 5 11 2" xfId="31588"/>
    <cellStyle name="Note 2 5 12" xfId="9469"/>
    <cellStyle name="Note 2 5 12 2" xfId="32244"/>
    <cellStyle name="Note 2 5 13" xfId="10125"/>
    <cellStyle name="Note 2 5 13 2" xfId="32900"/>
    <cellStyle name="Note 2 5 14" xfId="10781"/>
    <cellStyle name="Note 2 5 14 2" xfId="33556"/>
    <cellStyle name="Note 2 5 15" xfId="11437"/>
    <cellStyle name="Note 2 5 15 2" xfId="34212"/>
    <cellStyle name="Note 2 5 16" xfId="12093"/>
    <cellStyle name="Note 2 5 16 2" xfId="34868"/>
    <cellStyle name="Note 2 5 17" xfId="12749"/>
    <cellStyle name="Note 2 5 17 2" xfId="35524"/>
    <cellStyle name="Note 2 5 18" xfId="13405"/>
    <cellStyle name="Note 2 5 18 2" xfId="36180"/>
    <cellStyle name="Note 2 5 19" xfId="14061"/>
    <cellStyle name="Note 2 5 19 2" xfId="36836"/>
    <cellStyle name="Note 2 5 2" xfId="1269"/>
    <cellStyle name="Note 2 5 2 2" xfId="3565"/>
    <cellStyle name="Note 2 5 2 2 2" xfId="26340"/>
    <cellStyle name="Note 2 5 2 3" xfId="24044"/>
    <cellStyle name="Note 2 5 20" xfId="14717"/>
    <cellStyle name="Note 2 5 20 2" xfId="37492"/>
    <cellStyle name="Note 2 5 21" xfId="15373"/>
    <cellStyle name="Note 2 5 21 2" xfId="38148"/>
    <cellStyle name="Note 2 5 22" xfId="16029"/>
    <cellStyle name="Note 2 5 22 2" xfId="38804"/>
    <cellStyle name="Note 2 5 23" xfId="16685"/>
    <cellStyle name="Note 2 5 23 2" xfId="39460"/>
    <cellStyle name="Note 2 5 24" xfId="17341"/>
    <cellStyle name="Note 2 5 24 2" xfId="40116"/>
    <cellStyle name="Note 2 5 25" xfId="17997"/>
    <cellStyle name="Note 2 5 25 2" xfId="40772"/>
    <cellStyle name="Note 2 5 26" xfId="18653"/>
    <cellStyle name="Note 2 5 26 2" xfId="41428"/>
    <cellStyle name="Note 2 5 27" xfId="19309"/>
    <cellStyle name="Note 2 5 27 2" xfId="42084"/>
    <cellStyle name="Note 2 5 28" xfId="19965"/>
    <cellStyle name="Note 2 5 28 2" xfId="42740"/>
    <cellStyle name="Note 2 5 29" xfId="20621"/>
    <cellStyle name="Note 2 5 29 2" xfId="43396"/>
    <cellStyle name="Note 2 5 3" xfId="1925"/>
    <cellStyle name="Note 2 5 3 2" xfId="4221"/>
    <cellStyle name="Note 2 5 3 2 2" xfId="26996"/>
    <cellStyle name="Note 2 5 3 3" xfId="24700"/>
    <cellStyle name="Note 2 5 30" xfId="21277"/>
    <cellStyle name="Note 2 5 30 2" xfId="44052"/>
    <cellStyle name="Note 2 5 31" xfId="21933"/>
    <cellStyle name="Note 2 5 31 2" xfId="44708"/>
    <cellStyle name="Note 2 5 32" xfId="22589"/>
    <cellStyle name="Note 2 5 32 2" xfId="45364"/>
    <cellStyle name="Note 2 5 33" xfId="23388"/>
    <cellStyle name="Note 2 5 4" xfId="4877"/>
    <cellStyle name="Note 2 5 4 2" xfId="27652"/>
    <cellStyle name="Note 2 5 5" xfId="5533"/>
    <cellStyle name="Note 2 5 5 2" xfId="28308"/>
    <cellStyle name="Note 2 5 6" xfId="6189"/>
    <cellStyle name="Note 2 5 6 2" xfId="28964"/>
    <cellStyle name="Note 2 5 7" xfId="2909"/>
    <cellStyle name="Note 2 5 7 2" xfId="25684"/>
    <cellStyle name="Note 2 5 8" xfId="6845"/>
    <cellStyle name="Note 2 5 8 2" xfId="29620"/>
    <cellStyle name="Note 2 5 9" xfId="7501"/>
    <cellStyle name="Note 2 5 9 2" xfId="30276"/>
    <cellStyle name="Note 2 6" xfId="286"/>
    <cellStyle name="Note 2 6 2" xfId="2581"/>
    <cellStyle name="Note 2 6 2 2" xfId="25356"/>
    <cellStyle name="Note 2 6 3" xfId="23060"/>
    <cellStyle name="Note 2 7" xfId="941"/>
    <cellStyle name="Note 2 7 2" xfId="3237"/>
    <cellStyle name="Note 2 7 2 2" xfId="26012"/>
    <cellStyle name="Note 2 7 3" xfId="23716"/>
    <cellStyle name="Note 2 8" xfId="1597"/>
    <cellStyle name="Note 2 8 2" xfId="3893"/>
    <cellStyle name="Note 2 8 2 2" xfId="26668"/>
    <cellStyle name="Note 2 8 3" xfId="24372"/>
    <cellStyle name="Note 2 9" xfId="4549"/>
    <cellStyle name="Note 2 9 2" xfId="27324"/>
    <cellStyle name="Note 3" xfId="67"/>
    <cellStyle name="Note 3 10" xfId="5863"/>
    <cellStyle name="Note 3 10 2" xfId="28638"/>
    <cellStyle name="Note 3 11" xfId="2255"/>
    <cellStyle name="Note 3 11 2" xfId="25030"/>
    <cellStyle name="Note 3 12" xfId="6519"/>
    <cellStyle name="Note 3 12 2" xfId="29294"/>
    <cellStyle name="Note 3 13" xfId="7175"/>
    <cellStyle name="Note 3 13 2" xfId="29950"/>
    <cellStyle name="Note 3 14" xfId="7831"/>
    <cellStyle name="Note 3 14 2" xfId="30606"/>
    <cellStyle name="Note 3 15" xfId="8487"/>
    <cellStyle name="Note 3 15 2" xfId="31262"/>
    <cellStyle name="Note 3 16" xfId="9143"/>
    <cellStyle name="Note 3 16 2" xfId="31918"/>
    <cellStyle name="Note 3 17" xfId="9799"/>
    <cellStyle name="Note 3 17 2" xfId="32574"/>
    <cellStyle name="Note 3 18" xfId="10455"/>
    <cellStyle name="Note 3 18 2" xfId="33230"/>
    <cellStyle name="Note 3 19" xfId="11111"/>
    <cellStyle name="Note 3 19 2" xfId="33886"/>
    <cellStyle name="Note 3 2" xfId="143"/>
    <cellStyle name="Note 3 2 10" xfId="2341"/>
    <cellStyle name="Note 3 2 10 2" xfId="25116"/>
    <cellStyle name="Note 3 2 11" xfId="6605"/>
    <cellStyle name="Note 3 2 11 2" xfId="29380"/>
    <cellStyle name="Note 3 2 12" xfId="7261"/>
    <cellStyle name="Note 3 2 12 2" xfId="30036"/>
    <cellStyle name="Note 3 2 13" xfId="7917"/>
    <cellStyle name="Note 3 2 13 2" xfId="30692"/>
    <cellStyle name="Note 3 2 14" xfId="8573"/>
    <cellStyle name="Note 3 2 14 2" xfId="31348"/>
    <cellStyle name="Note 3 2 15" xfId="9229"/>
    <cellStyle name="Note 3 2 15 2" xfId="32004"/>
    <cellStyle name="Note 3 2 16" xfId="9885"/>
    <cellStyle name="Note 3 2 16 2" xfId="32660"/>
    <cellStyle name="Note 3 2 17" xfId="10541"/>
    <cellStyle name="Note 3 2 17 2" xfId="33316"/>
    <cellStyle name="Note 3 2 18" xfId="11197"/>
    <cellStyle name="Note 3 2 18 2" xfId="33972"/>
    <cellStyle name="Note 3 2 19" xfId="11853"/>
    <cellStyle name="Note 3 2 19 2" xfId="34628"/>
    <cellStyle name="Note 3 2 2" xfId="557"/>
    <cellStyle name="Note 3 2 2 10" xfId="6790"/>
    <cellStyle name="Note 3 2 2 10 2" xfId="29565"/>
    <cellStyle name="Note 3 2 2 11" xfId="7446"/>
    <cellStyle name="Note 3 2 2 11 2" xfId="30221"/>
    <cellStyle name="Note 3 2 2 12" xfId="8102"/>
    <cellStyle name="Note 3 2 2 12 2" xfId="30877"/>
    <cellStyle name="Note 3 2 2 13" xfId="8758"/>
    <cellStyle name="Note 3 2 2 13 2" xfId="31533"/>
    <cellStyle name="Note 3 2 2 14" xfId="9414"/>
    <cellStyle name="Note 3 2 2 14 2" xfId="32189"/>
    <cellStyle name="Note 3 2 2 15" xfId="10070"/>
    <cellStyle name="Note 3 2 2 15 2" xfId="32845"/>
    <cellStyle name="Note 3 2 2 16" xfId="10726"/>
    <cellStyle name="Note 3 2 2 16 2" xfId="33501"/>
    <cellStyle name="Note 3 2 2 17" xfId="11382"/>
    <cellStyle name="Note 3 2 2 17 2" xfId="34157"/>
    <cellStyle name="Note 3 2 2 18" xfId="12038"/>
    <cellStyle name="Note 3 2 2 18 2" xfId="34813"/>
    <cellStyle name="Note 3 2 2 19" xfId="12694"/>
    <cellStyle name="Note 3 2 2 19 2" xfId="35469"/>
    <cellStyle name="Note 3 2 2 2" xfId="886"/>
    <cellStyle name="Note 3 2 2 2 10" xfId="8430"/>
    <cellStyle name="Note 3 2 2 2 10 2" xfId="31205"/>
    <cellStyle name="Note 3 2 2 2 11" xfId="9086"/>
    <cellStyle name="Note 3 2 2 2 11 2" xfId="31861"/>
    <cellStyle name="Note 3 2 2 2 12" xfId="9742"/>
    <cellStyle name="Note 3 2 2 2 12 2" xfId="32517"/>
    <cellStyle name="Note 3 2 2 2 13" xfId="10398"/>
    <cellStyle name="Note 3 2 2 2 13 2" xfId="33173"/>
    <cellStyle name="Note 3 2 2 2 14" xfId="11054"/>
    <cellStyle name="Note 3 2 2 2 14 2" xfId="33829"/>
    <cellStyle name="Note 3 2 2 2 15" xfId="11710"/>
    <cellStyle name="Note 3 2 2 2 15 2" xfId="34485"/>
    <cellStyle name="Note 3 2 2 2 16" xfId="12366"/>
    <cellStyle name="Note 3 2 2 2 16 2" xfId="35141"/>
    <cellStyle name="Note 3 2 2 2 17" xfId="13022"/>
    <cellStyle name="Note 3 2 2 2 17 2" xfId="35797"/>
    <cellStyle name="Note 3 2 2 2 18" xfId="13678"/>
    <cellStyle name="Note 3 2 2 2 18 2" xfId="36453"/>
    <cellStyle name="Note 3 2 2 2 19" xfId="14334"/>
    <cellStyle name="Note 3 2 2 2 19 2" xfId="37109"/>
    <cellStyle name="Note 3 2 2 2 2" xfId="1542"/>
    <cellStyle name="Note 3 2 2 2 2 2" xfId="3838"/>
    <cellStyle name="Note 3 2 2 2 2 2 2" xfId="26613"/>
    <cellStyle name="Note 3 2 2 2 2 3" xfId="24317"/>
    <cellStyle name="Note 3 2 2 2 20" xfId="14990"/>
    <cellStyle name="Note 3 2 2 2 20 2" xfId="37765"/>
    <cellStyle name="Note 3 2 2 2 21" xfId="15646"/>
    <cellStyle name="Note 3 2 2 2 21 2" xfId="38421"/>
    <cellStyle name="Note 3 2 2 2 22" xfId="16302"/>
    <cellStyle name="Note 3 2 2 2 22 2" xfId="39077"/>
    <cellStyle name="Note 3 2 2 2 23" xfId="16958"/>
    <cellStyle name="Note 3 2 2 2 23 2" xfId="39733"/>
    <cellStyle name="Note 3 2 2 2 24" xfId="17614"/>
    <cellStyle name="Note 3 2 2 2 24 2" xfId="40389"/>
    <cellStyle name="Note 3 2 2 2 25" xfId="18270"/>
    <cellStyle name="Note 3 2 2 2 25 2" xfId="41045"/>
    <cellStyle name="Note 3 2 2 2 26" xfId="18926"/>
    <cellStyle name="Note 3 2 2 2 26 2" xfId="41701"/>
    <cellStyle name="Note 3 2 2 2 27" xfId="19582"/>
    <cellStyle name="Note 3 2 2 2 27 2" xfId="42357"/>
    <cellStyle name="Note 3 2 2 2 28" xfId="20238"/>
    <cellStyle name="Note 3 2 2 2 28 2" xfId="43013"/>
    <cellStyle name="Note 3 2 2 2 29" xfId="20894"/>
    <cellStyle name="Note 3 2 2 2 29 2" xfId="43669"/>
    <cellStyle name="Note 3 2 2 2 3" xfId="2198"/>
    <cellStyle name="Note 3 2 2 2 3 2" xfId="4494"/>
    <cellStyle name="Note 3 2 2 2 3 2 2" xfId="27269"/>
    <cellStyle name="Note 3 2 2 2 3 3" xfId="24973"/>
    <cellStyle name="Note 3 2 2 2 30" xfId="21550"/>
    <cellStyle name="Note 3 2 2 2 30 2" xfId="44325"/>
    <cellStyle name="Note 3 2 2 2 31" xfId="22206"/>
    <cellStyle name="Note 3 2 2 2 31 2" xfId="44981"/>
    <cellStyle name="Note 3 2 2 2 32" xfId="22862"/>
    <cellStyle name="Note 3 2 2 2 32 2" xfId="45637"/>
    <cellStyle name="Note 3 2 2 2 33" xfId="23661"/>
    <cellStyle name="Note 3 2 2 2 4" xfId="5150"/>
    <cellStyle name="Note 3 2 2 2 4 2" xfId="27925"/>
    <cellStyle name="Note 3 2 2 2 5" xfId="5806"/>
    <cellStyle name="Note 3 2 2 2 5 2" xfId="28581"/>
    <cellStyle name="Note 3 2 2 2 6" xfId="6462"/>
    <cellStyle name="Note 3 2 2 2 6 2" xfId="29237"/>
    <cellStyle name="Note 3 2 2 2 7" xfId="3182"/>
    <cellStyle name="Note 3 2 2 2 7 2" xfId="25957"/>
    <cellStyle name="Note 3 2 2 2 8" xfId="7118"/>
    <cellStyle name="Note 3 2 2 2 8 2" xfId="29893"/>
    <cellStyle name="Note 3 2 2 2 9" xfId="7774"/>
    <cellStyle name="Note 3 2 2 2 9 2" xfId="30549"/>
    <cellStyle name="Note 3 2 2 20" xfId="13350"/>
    <cellStyle name="Note 3 2 2 20 2" xfId="36125"/>
    <cellStyle name="Note 3 2 2 21" xfId="14006"/>
    <cellStyle name="Note 3 2 2 21 2" xfId="36781"/>
    <cellStyle name="Note 3 2 2 22" xfId="14662"/>
    <cellStyle name="Note 3 2 2 22 2" xfId="37437"/>
    <cellStyle name="Note 3 2 2 23" xfId="15318"/>
    <cellStyle name="Note 3 2 2 23 2" xfId="38093"/>
    <cellStyle name="Note 3 2 2 24" xfId="15974"/>
    <cellStyle name="Note 3 2 2 24 2" xfId="38749"/>
    <cellStyle name="Note 3 2 2 25" xfId="16630"/>
    <cellStyle name="Note 3 2 2 25 2" xfId="39405"/>
    <cellStyle name="Note 3 2 2 26" xfId="17286"/>
    <cellStyle name="Note 3 2 2 26 2" xfId="40061"/>
    <cellStyle name="Note 3 2 2 27" xfId="17942"/>
    <cellStyle name="Note 3 2 2 27 2" xfId="40717"/>
    <cellStyle name="Note 3 2 2 28" xfId="18598"/>
    <cellStyle name="Note 3 2 2 28 2" xfId="41373"/>
    <cellStyle name="Note 3 2 2 29" xfId="19254"/>
    <cellStyle name="Note 3 2 2 29 2" xfId="42029"/>
    <cellStyle name="Note 3 2 2 3" xfId="1214"/>
    <cellStyle name="Note 3 2 2 3 2" xfId="2854"/>
    <cellStyle name="Note 3 2 2 3 2 2" xfId="25629"/>
    <cellStyle name="Note 3 2 2 3 3" xfId="23989"/>
    <cellStyle name="Note 3 2 2 30" xfId="19910"/>
    <cellStyle name="Note 3 2 2 30 2" xfId="42685"/>
    <cellStyle name="Note 3 2 2 31" xfId="20566"/>
    <cellStyle name="Note 3 2 2 31 2" xfId="43341"/>
    <cellStyle name="Note 3 2 2 32" xfId="21222"/>
    <cellStyle name="Note 3 2 2 32 2" xfId="43997"/>
    <cellStyle name="Note 3 2 2 33" xfId="21878"/>
    <cellStyle name="Note 3 2 2 33 2" xfId="44653"/>
    <cellStyle name="Note 3 2 2 34" xfId="22534"/>
    <cellStyle name="Note 3 2 2 34 2" xfId="45309"/>
    <cellStyle name="Note 3 2 2 35" xfId="23333"/>
    <cellStyle name="Note 3 2 2 4" xfId="1870"/>
    <cellStyle name="Note 3 2 2 4 2" xfId="3510"/>
    <cellStyle name="Note 3 2 2 4 2 2" xfId="26285"/>
    <cellStyle name="Note 3 2 2 4 3" xfId="24645"/>
    <cellStyle name="Note 3 2 2 5" xfId="4166"/>
    <cellStyle name="Note 3 2 2 5 2" xfId="26941"/>
    <cellStyle name="Note 3 2 2 6" xfId="4822"/>
    <cellStyle name="Note 3 2 2 6 2" xfId="27597"/>
    <cellStyle name="Note 3 2 2 7" xfId="5478"/>
    <cellStyle name="Note 3 2 2 7 2" xfId="28253"/>
    <cellStyle name="Note 3 2 2 8" xfId="6134"/>
    <cellStyle name="Note 3 2 2 8 2" xfId="28909"/>
    <cellStyle name="Note 3 2 2 9" xfId="2526"/>
    <cellStyle name="Note 3 2 2 9 2" xfId="25301"/>
    <cellStyle name="Note 3 2 20" xfId="12509"/>
    <cellStyle name="Note 3 2 20 2" xfId="35284"/>
    <cellStyle name="Note 3 2 21" xfId="13165"/>
    <cellStyle name="Note 3 2 21 2" xfId="35940"/>
    <cellStyle name="Note 3 2 22" xfId="13821"/>
    <cellStyle name="Note 3 2 22 2" xfId="36596"/>
    <cellStyle name="Note 3 2 23" xfId="14477"/>
    <cellStyle name="Note 3 2 23 2" xfId="37252"/>
    <cellStyle name="Note 3 2 24" xfId="15133"/>
    <cellStyle name="Note 3 2 24 2" xfId="37908"/>
    <cellStyle name="Note 3 2 25" xfId="15789"/>
    <cellStyle name="Note 3 2 25 2" xfId="38564"/>
    <cellStyle name="Note 3 2 26" xfId="16445"/>
    <cellStyle name="Note 3 2 26 2" xfId="39220"/>
    <cellStyle name="Note 3 2 27" xfId="17101"/>
    <cellStyle name="Note 3 2 27 2" xfId="39876"/>
    <cellStyle name="Note 3 2 28" xfId="17757"/>
    <cellStyle name="Note 3 2 28 2" xfId="40532"/>
    <cellStyle name="Note 3 2 29" xfId="18413"/>
    <cellStyle name="Note 3 2 29 2" xfId="41188"/>
    <cellStyle name="Note 3 2 3" xfId="701"/>
    <cellStyle name="Note 3 2 3 10" xfId="8245"/>
    <cellStyle name="Note 3 2 3 10 2" xfId="31020"/>
    <cellStyle name="Note 3 2 3 11" xfId="8901"/>
    <cellStyle name="Note 3 2 3 11 2" xfId="31676"/>
    <cellStyle name="Note 3 2 3 12" xfId="9557"/>
    <cellStyle name="Note 3 2 3 12 2" xfId="32332"/>
    <cellStyle name="Note 3 2 3 13" xfId="10213"/>
    <cellStyle name="Note 3 2 3 13 2" xfId="32988"/>
    <cellStyle name="Note 3 2 3 14" xfId="10869"/>
    <cellStyle name="Note 3 2 3 14 2" xfId="33644"/>
    <cellStyle name="Note 3 2 3 15" xfId="11525"/>
    <cellStyle name="Note 3 2 3 15 2" xfId="34300"/>
    <cellStyle name="Note 3 2 3 16" xfId="12181"/>
    <cellStyle name="Note 3 2 3 16 2" xfId="34956"/>
    <cellStyle name="Note 3 2 3 17" xfId="12837"/>
    <cellStyle name="Note 3 2 3 17 2" xfId="35612"/>
    <cellStyle name="Note 3 2 3 18" xfId="13493"/>
    <cellStyle name="Note 3 2 3 18 2" xfId="36268"/>
    <cellStyle name="Note 3 2 3 19" xfId="14149"/>
    <cellStyle name="Note 3 2 3 19 2" xfId="36924"/>
    <cellStyle name="Note 3 2 3 2" xfId="1357"/>
    <cellStyle name="Note 3 2 3 2 2" xfId="3653"/>
    <cellStyle name="Note 3 2 3 2 2 2" xfId="26428"/>
    <cellStyle name="Note 3 2 3 2 3" xfId="24132"/>
    <cellStyle name="Note 3 2 3 20" xfId="14805"/>
    <cellStyle name="Note 3 2 3 20 2" xfId="37580"/>
    <cellStyle name="Note 3 2 3 21" xfId="15461"/>
    <cellStyle name="Note 3 2 3 21 2" xfId="38236"/>
    <cellStyle name="Note 3 2 3 22" xfId="16117"/>
    <cellStyle name="Note 3 2 3 22 2" xfId="38892"/>
    <cellStyle name="Note 3 2 3 23" xfId="16773"/>
    <cellStyle name="Note 3 2 3 23 2" xfId="39548"/>
    <cellStyle name="Note 3 2 3 24" xfId="17429"/>
    <cellStyle name="Note 3 2 3 24 2" xfId="40204"/>
    <cellStyle name="Note 3 2 3 25" xfId="18085"/>
    <cellStyle name="Note 3 2 3 25 2" xfId="40860"/>
    <cellStyle name="Note 3 2 3 26" xfId="18741"/>
    <cellStyle name="Note 3 2 3 26 2" xfId="41516"/>
    <cellStyle name="Note 3 2 3 27" xfId="19397"/>
    <cellStyle name="Note 3 2 3 27 2" xfId="42172"/>
    <cellStyle name="Note 3 2 3 28" xfId="20053"/>
    <cellStyle name="Note 3 2 3 28 2" xfId="42828"/>
    <cellStyle name="Note 3 2 3 29" xfId="20709"/>
    <cellStyle name="Note 3 2 3 29 2" xfId="43484"/>
    <cellStyle name="Note 3 2 3 3" xfId="2013"/>
    <cellStyle name="Note 3 2 3 3 2" xfId="4309"/>
    <cellStyle name="Note 3 2 3 3 2 2" xfId="27084"/>
    <cellStyle name="Note 3 2 3 3 3" xfId="24788"/>
    <cellStyle name="Note 3 2 3 30" xfId="21365"/>
    <cellStyle name="Note 3 2 3 30 2" xfId="44140"/>
    <cellStyle name="Note 3 2 3 31" xfId="22021"/>
    <cellStyle name="Note 3 2 3 31 2" xfId="44796"/>
    <cellStyle name="Note 3 2 3 32" xfId="22677"/>
    <cellStyle name="Note 3 2 3 32 2" xfId="45452"/>
    <cellStyle name="Note 3 2 3 33" xfId="23476"/>
    <cellStyle name="Note 3 2 3 4" xfId="4965"/>
    <cellStyle name="Note 3 2 3 4 2" xfId="27740"/>
    <cellStyle name="Note 3 2 3 5" xfId="5621"/>
    <cellStyle name="Note 3 2 3 5 2" xfId="28396"/>
    <cellStyle name="Note 3 2 3 6" xfId="6277"/>
    <cellStyle name="Note 3 2 3 6 2" xfId="29052"/>
    <cellStyle name="Note 3 2 3 7" xfId="2997"/>
    <cellStyle name="Note 3 2 3 7 2" xfId="25772"/>
    <cellStyle name="Note 3 2 3 8" xfId="6933"/>
    <cellStyle name="Note 3 2 3 8 2" xfId="29708"/>
    <cellStyle name="Note 3 2 3 9" xfId="7589"/>
    <cellStyle name="Note 3 2 3 9 2" xfId="30364"/>
    <cellStyle name="Note 3 2 30" xfId="19069"/>
    <cellStyle name="Note 3 2 30 2" xfId="41844"/>
    <cellStyle name="Note 3 2 31" xfId="19725"/>
    <cellStyle name="Note 3 2 31 2" xfId="42500"/>
    <cellStyle name="Note 3 2 32" xfId="20381"/>
    <cellStyle name="Note 3 2 32 2" xfId="43156"/>
    <cellStyle name="Note 3 2 33" xfId="21037"/>
    <cellStyle name="Note 3 2 33 2" xfId="43812"/>
    <cellStyle name="Note 3 2 34" xfId="21693"/>
    <cellStyle name="Note 3 2 34 2" xfId="44468"/>
    <cellStyle name="Note 3 2 35" xfId="22349"/>
    <cellStyle name="Note 3 2 35 2" xfId="45124"/>
    <cellStyle name="Note 3 2 36" xfId="23005"/>
    <cellStyle name="Note 3 2 4" xfId="374"/>
    <cellStyle name="Note 3 2 4 2" xfId="2669"/>
    <cellStyle name="Note 3 2 4 2 2" xfId="25444"/>
    <cellStyle name="Note 3 2 4 3" xfId="23148"/>
    <cellStyle name="Note 3 2 5" xfId="1029"/>
    <cellStyle name="Note 3 2 5 2" xfId="3325"/>
    <cellStyle name="Note 3 2 5 2 2" xfId="26100"/>
    <cellStyle name="Note 3 2 5 3" xfId="23804"/>
    <cellStyle name="Note 3 2 6" xfId="1685"/>
    <cellStyle name="Note 3 2 6 2" xfId="3981"/>
    <cellStyle name="Note 3 2 6 2 2" xfId="26756"/>
    <cellStyle name="Note 3 2 6 3" xfId="24460"/>
    <cellStyle name="Note 3 2 7" xfId="4637"/>
    <cellStyle name="Note 3 2 7 2" xfId="27412"/>
    <cellStyle name="Note 3 2 8" xfId="5293"/>
    <cellStyle name="Note 3 2 8 2" xfId="28068"/>
    <cellStyle name="Note 3 2 9" xfId="5949"/>
    <cellStyle name="Note 3 2 9 2" xfId="28724"/>
    <cellStyle name="Note 3 20" xfId="11767"/>
    <cellStyle name="Note 3 20 2" xfId="34542"/>
    <cellStyle name="Note 3 21" xfId="12423"/>
    <cellStyle name="Note 3 21 2" xfId="35198"/>
    <cellStyle name="Note 3 22" xfId="13079"/>
    <cellStyle name="Note 3 22 2" xfId="35854"/>
    <cellStyle name="Note 3 23" xfId="13735"/>
    <cellStyle name="Note 3 23 2" xfId="36510"/>
    <cellStyle name="Note 3 24" xfId="14391"/>
    <cellStyle name="Note 3 24 2" xfId="37166"/>
    <cellStyle name="Note 3 25" xfId="15047"/>
    <cellStyle name="Note 3 25 2" xfId="37822"/>
    <cellStyle name="Note 3 26" xfId="15703"/>
    <cellStyle name="Note 3 26 2" xfId="38478"/>
    <cellStyle name="Note 3 27" xfId="16359"/>
    <cellStyle name="Note 3 27 2" xfId="39134"/>
    <cellStyle name="Note 3 28" xfId="17015"/>
    <cellStyle name="Note 3 28 2" xfId="39790"/>
    <cellStyle name="Note 3 29" xfId="17671"/>
    <cellStyle name="Note 3 29 2" xfId="40446"/>
    <cellStyle name="Note 3 3" xfId="473"/>
    <cellStyle name="Note 3 3 10" xfId="6704"/>
    <cellStyle name="Note 3 3 10 2" xfId="29479"/>
    <cellStyle name="Note 3 3 11" xfId="7360"/>
    <cellStyle name="Note 3 3 11 2" xfId="30135"/>
    <cellStyle name="Note 3 3 12" xfId="8016"/>
    <cellStyle name="Note 3 3 12 2" xfId="30791"/>
    <cellStyle name="Note 3 3 13" xfId="8672"/>
    <cellStyle name="Note 3 3 13 2" xfId="31447"/>
    <cellStyle name="Note 3 3 14" xfId="9328"/>
    <cellStyle name="Note 3 3 14 2" xfId="32103"/>
    <cellStyle name="Note 3 3 15" xfId="9984"/>
    <cellStyle name="Note 3 3 15 2" xfId="32759"/>
    <cellStyle name="Note 3 3 16" xfId="10640"/>
    <cellStyle name="Note 3 3 16 2" xfId="33415"/>
    <cellStyle name="Note 3 3 17" xfId="11296"/>
    <cellStyle name="Note 3 3 17 2" xfId="34071"/>
    <cellStyle name="Note 3 3 18" xfId="11952"/>
    <cellStyle name="Note 3 3 18 2" xfId="34727"/>
    <cellStyle name="Note 3 3 19" xfId="12608"/>
    <cellStyle name="Note 3 3 19 2" xfId="35383"/>
    <cellStyle name="Note 3 3 2" xfId="800"/>
    <cellStyle name="Note 3 3 2 10" xfId="8344"/>
    <cellStyle name="Note 3 3 2 10 2" xfId="31119"/>
    <cellStyle name="Note 3 3 2 11" xfId="9000"/>
    <cellStyle name="Note 3 3 2 11 2" xfId="31775"/>
    <cellStyle name="Note 3 3 2 12" xfId="9656"/>
    <cellStyle name="Note 3 3 2 12 2" xfId="32431"/>
    <cellStyle name="Note 3 3 2 13" xfId="10312"/>
    <cellStyle name="Note 3 3 2 13 2" xfId="33087"/>
    <cellStyle name="Note 3 3 2 14" xfId="10968"/>
    <cellStyle name="Note 3 3 2 14 2" xfId="33743"/>
    <cellStyle name="Note 3 3 2 15" xfId="11624"/>
    <cellStyle name="Note 3 3 2 15 2" xfId="34399"/>
    <cellStyle name="Note 3 3 2 16" xfId="12280"/>
    <cellStyle name="Note 3 3 2 16 2" xfId="35055"/>
    <cellStyle name="Note 3 3 2 17" xfId="12936"/>
    <cellStyle name="Note 3 3 2 17 2" xfId="35711"/>
    <cellStyle name="Note 3 3 2 18" xfId="13592"/>
    <cellStyle name="Note 3 3 2 18 2" xfId="36367"/>
    <cellStyle name="Note 3 3 2 19" xfId="14248"/>
    <cellStyle name="Note 3 3 2 19 2" xfId="37023"/>
    <cellStyle name="Note 3 3 2 2" xfId="1456"/>
    <cellStyle name="Note 3 3 2 2 2" xfId="3752"/>
    <cellStyle name="Note 3 3 2 2 2 2" xfId="26527"/>
    <cellStyle name="Note 3 3 2 2 3" xfId="24231"/>
    <cellStyle name="Note 3 3 2 20" xfId="14904"/>
    <cellStyle name="Note 3 3 2 20 2" xfId="37679"/>
    <cellStyle name="Note 3 3 2 21" xfId="15560"/>
    <cellStyle name="Note 3 3 2 21 2" xfId="38335"/>
    <cellStyle name="Note 3 3 2 22" xfId="16216"/>
    <cellStyle name="Note 3 3 2 22 2" xfId="38991"/>
    <cellStyle name="Note 3 3 2 23" xfId="16872"/>
    <cellStyle name="Note 3 3 2 23 2" xfId="39647"/>
    <cellStyle name="Note 3 3 2 24" xfId="17528"/>
    <cellStyle name="Note 3 3 2 24 2" xfId="40303"/>
    <cellStyle name="Note 3 3 2 25" xfId="18184"/>
    <cellStyle name="Note 3 3 2 25 2" xfId="40959"/>
    <cellStyle name="Note 3 3 2 26" xfId="18840"/>
    <cellStyle name="Note 3 3 2 26 2" xfId="41615"/>
    <cellStyle name="Note 3 3 2 27" xfId="19496"/>
    <cellStyle name="Note 3 3 2 27 2" xfId="42271"/>
    <cellStyle name="Note 3 3 2 28" xfId="20152"/>
    <cellStyle name="Note 3 3 2 28 2" xfId="42927"/>
    <cellStyle name="Note 3 3 2 29" xfId="20808"/>
    <cellStyle name="Note 3 3 2 29 2" xfId="43583"/>
    <cellStyle name="Note 3 3 2 3" xfId="2112"/>
    <cellStyle name="Note 3 3 2 3 2" xfId="4408"/>
    <cellStyle name="Note 3 3 2 3 2 2" xfId="27183"/>
    <cellStyle name="Note 3 3 2 3 3" xfId="24887"/>
    <cellStyle name="Note 3 3 2 30" xfId="21464"/>
    <cellStyle name="Note 3 3 2 30 2" xfId="44239"/>
    <cellStyle name="Note 3 3 2 31" xfId="22120"/>
    <cellStyle name="Note 3 3 2 31 2" xfId="44895"/>
    <cellStyle name="Note 3 3 2 32" xfId="22776"/>
    <cellStyle name="Note 3 3 2 32 2" xfId="45551"/>
    <cellStyle name="Note 3 3 2 33" xfId="23575"/>
    <cellStyle name="Note 3 3 2 4" xfId="5064"/>
    <cellStyle name="Note 3 3 2 4 2" xfId="27839"/>
    <cellStyle name="Note 3 3 2 5" xfId="5720"/>
    <cellStyle name="Note 3 3 2 5 2" xfId="28495"/>
    <cellStyle name="Note 3 3 2 6" xfId="6376"/>
    <cellStyle name="Note 3 3 2 6 2" xfId="29151"/>
    <cellStyle name="Note 3 3 2 7" xfId="3096"/>
    <cellStyle name="Note 3 3 2 7 2" xfId="25871"/>
    <cellStyle name="Note 3 3 2 8" xfId="7032"/>
    <cellStyle name="Note 3 3 2 8 2" xfId="29807"/>
    <cellStyle name="Note 3 3 2 9" xfId="7688"/>
    <cellStyle name="Note 3 3 2 9 2" xfId="30463"/>
    <cellStyle name="Note 3 3 20" xfId="13264"/>
    <cellStyle name="Note 3 3 20 2" xfId="36039"/>
    <cellStyle name="Note 3 3 21" xfId="13920"/>
    <cellStyle name="Note 3 3 21 2" xfId="36695"/>
    <cellStyle name="Note 3 3 22" xfId="14576"/>
    <cellStyle name="Note 3 3 22 2" xfId="37351"/>
    <cellStyle name="Note 3 3 23" xfId="15232"/>
    <cellStyle name="Note 3 3 23 2" xfId="38007"/>
    <cellStyle name="Note 3 3 24" xfId="15888"/>
    <cellStyle name="Note 3 3 24 2" xfId="38663"/>
    <cellStyle name="Note 3 3 25" xfId="16544"/>
    <cellStyle name="Note 3 3 25 2" xfId="39319"/>
    <cellStyle name="Note 3 3 26" xfId="17200"/>
    <cellStyle name="Note 3 3 26 2" xfId="39975"/>
    <cellStyle name="Note 3 3 27" xfId="17856"/>
    <cellStyle name="Note 3 3 27 2" xfId="40631"/>
    <cellStyle name="Note 3 3 28" xfId="18512"/>
    <cellStyle name="Note 3 3 28 2" xfId="41287"/>
    <cellStyle name="Note 3 3 29" xfId="19168"/>
    <cellStyle name="Note 3 3 29 2" xfId="41943"/>
    <cellStyle name="Note 3 3 3" xfId="1128"/>
    <cellStyle name="Note 3 3 3 2" xfId="2768"/>
    <cellStyle name="Note 3 3 3 2 2" xfId="25543"/>
    <cellStyle name="Note 3 3 3 3" xfId="23903"/>
    <cellStyle name="Note 3 3 30" xfId="19824"/>
    <cellStyle name="Note 3 3 30 2" xfId="42599"/>
    <cellStyle name="Note 3 3 31" xfId="20480"/>
    <cellStyle name="Note 3 3 31 2" xfId="43255"/>
    <cellStyle name="Note 3 3 32" xfId="21136"/>
    <cellStyle name="Note 3 3 32 2" xfId="43911"/>
    <cellStyle name="Note 3 3 33" xfId="21792"/>
    <cellStyle name="Note 3 3 33 2" xfId="44567"/>
    <cellStyle name="Note 3 3 34" xfId="22448"/>
    <cellStyle name="Note 3 3 34 2" xfId="45223"/>
    <cellStyle name="Note 3 3 35" xfId="23247"/>
    <cellStyle name="Note 3 3 4" xfId="1784"/>
    <cellStyle name="Note 3 3 4 2" xfId="3424"/>
    <cellStyle name="Note 3 3 4 2 2" xfId="26199"/>
    <cellStyle name="Note 3 3 4 3" xfId="24559"/>
    <cellStyle name="Note 3 3 5" xfId="4080"/>
    <cellStyle name="Note 3 3 5 2" xfId="26855"/>
    <cellStyle name="Note 3 3 6" xfId="4736"/>
    <cellStyle name="Note 3 3 6 2" xfId="27511"/>
    <cellStyle name="Note 3 3 7" xfId="5392"/>
    <cellStyle name="Note 3 3 7 2" xfId="28167"/>
    <cellStyle name="Note 3 3 8" xfId="6048"/>
    <cellStyle name="Note 3 3 8 2" xfId="28823"/>
    <cellStyle name="Note 3 3 9" xfId="2440"/>
    <cellStyle name="Note 3 3 9 2" xfId="25215"/>
    <cellStyle name="Note 3 30" xfId="18327"/>
    <cellStyle name="Note 3 30 2" xfId="41102"/>
    <cellStyle name="Note 3 31" xfId="18983"/>
    <cellStyle name="Note 3 31 2" xfId="41758"/>
    <cellStyle name="Note 3 32" xfId="19639"/>
    <cellStyle name="Note 3 32 2" xfId="42414"/>
    <cellStyle name="Note 3 33" xfId="20295"/>
    <cellStyle name="Note 3 33 2" xfId="43070"/>
    <cellStyle name="Note 3 34" xfId="20951"/>
    <cellStyle name="Note 3 34 2" xfId="43726"/>
    <cellStyle name="Note 3 35" xfId="21607"/>
    <cellStyle name="Note 3 35 2" xfId="44382"/>
    <cellStyle name="Note 3 36" xfId="22263"/>
    <cellStyle name="Note 3 36 2" xfId="45038"/>
    <cellStyle name="Note 3 37" xfId="202"/>
    <cellStyle name="Note 3 38" xfId="22919"/>
    <cellStyle name="Note 3 4" xfId="615"/>
    <cellStyle name="Note 3 4 10" xfId="8159"/>
    <cellStyle name="Note 3 4 10 2" xfId="30934"/>
    <cellStyle name="Note 3 4 11" xfId="8815"/>
    <cellStyle name="Note 3 4 11 2" xfId="31590"/>
    <cellStyle name="Note 3 4 12" xfId="9471"/>
    <cellStyle name="Note 3 4 12 2" xfId="32246"/>
    <cellStyle name="Note 3 4 13" xfId="10127"/>
    <cellStyle name="Note 3 4 13 2" xfId="32902"/>
    <cellStyle name="Note 3 4 14" xfId="10783"/>
    <cellStyle name="Note 3 4 14 2" xfId="33558"/>
    <cellStyle name="Note 3 4 15" xfId="11439"/>
    <cellStyle name="Note 3 4 15 2" xfId="34214"/>
    <cellStyle name="Note 3 4 16" xfId="12095"/>
    <cellStyle name="Note 3 4 16 2" xfId="34870"/>
    <cellStyle name="Note 3 4 17" xfId="12751"/>
    <cellStyle name="Note 3 4 17 2" xfId="35526"/>
    <cellStyle name="Note 3 4 18" xfId="13407"/>
    <cellStyle name="Note 3 4 18 2" xfId="36182"/>
    <cellStyle name="Note 3 4 19" xfId="14063"/>
    <cellStyle name="Note 3 4 19 2" xfId="36838"/>
    <cellStyle name="Note 3 4 2" xfId="1271"/>
    <cellStyle name="Note 3 4 2 2" xfId="3567"/>
    <cellStyle name="Note 3 4 2 2 2" xfId="26342"/>
    <cellStyle name="Note 3 4 2 3" xfId="24046"/>
    <cellStyle name="Note 3 4 20" xfId="14719"/>
    <cellStyle name="Note 3 4 20 2" xfId="37494"/>
    <cellStyle name="Note 3 4 21" xfId="15375"/>
    <cellStyle name="Note 3 4 21 2" xfId="38150"/>
    <cellStyle name="Note 3 4 22" xfId="16031"/>
    <cellStyle name="Note 3 4 22 2" xfId="38806"/>
    <cellStyle name="Note 3 4 23" xfId="16687"/>
    <cellStyle name="Note 3 4 23 2" xfId="39462"/>
    <cellStyle name="Note 3 4 24" xfId="17343"/>
    <cellStyle name="Note 3 4 24 2" xfId="40118"/>
    <cellStyle name="Note 3 4 25" xfId="17999"/>
    <cellStyle name="Note 3 4 25 2" xfId="40774"/>
    <cellStyle name="Note 3 4 26" xfId="18655"/>
    <cellStyle name="Note 3 4 26 2" xfId="41430"/>
    <cellStyle name="Note 3 4 27" xfId="19311"/>
    <cellStyle name="Note 3 4 27 2" xfId="42086"/>
    <cellStyle name="Note 3 4 28" xfId="19967"/>
    <cellStyle name="Note 3 4 28 2" xfId="42742"/>
    <cellStyle name="Note 3 4 29" xfId="20623"/>
    <cellStyle name="Note 3 4 29 2" xfId="43398"/>
    <cellStyle name="Note 3 4 3" xfId="1927"/>
    <cellStyle name="Note 3 4 3 2" xfId="4223"/>
    <cellStyle name="Note 3 4 3 2 2" xfId="26998"/>
    <cellStyle name="Note 3 4 3 3" xfId="24702"/>
    <cellStyle name="Note 3 4 30" xfId="21279"/>
    <cellStyle name="Note 3 4 30 2" xfId="44054"/>
    <cellStyle name="Note 3 4 31" xfId="21935"/>
    <cellStyle name="Note 3 4 31 2" xfId="44710"/>
    <cellStyle name="Note 3 4 32" xfId="22591"/>
    <cellStyle name="Note 3 4 32 2" xfId="45366"/>
    <cellStyle name="Note 3 4 33" xfId="23390"/>
    <cellStyle name="Note 3 4 4" xfId="4879"/>
    <cellStyle name="Note 3 4 4 2" xfId="27654"/>
    <cellStyle name="Note 3 4 5" xfId="5535"/>
    <cellStyle name="Note 3 4 5 2" xfId="28310"/>
    <cellStyle name="Note 3 4 6" xfId="6191"/>
    <cellStyle name="Note 3 4 6 2" xfId="28966"/>
    <cellStyle name="Note 3 4 7" xfId="2911"/>
    <cellStyle name="Note 3 4 7 2" xfId="25686"/>
    <cellStyle name="Note 3 4 8" xfId="6847"/>
    <cellStyle name="Note 3 4 8 2" xfId="29622"/>
    <cellStyle name="Note 3 4 9" xfId="7503"/>
    <cellStyle name="Note 3 4 9 2" xfId="30278"/>
    <cellStyle name="Note 3 5" xfId="288"/>
    <cellStyle name="Note 3 5 2" xfId="2583"/>
    <cellStyle name="Note 3 5 2 2" xfId="25358"/>
    <cellStyle name="Note 3 5 3" xfId="23062"/>
    <cellStyle name="Note 3 6" xfId="943"/>
    <cellStyle name="Note 3 6 2" xfId="3239"/>
    <cellStyle name="Note 3 6 2 2" xfId="26014"/>
    <cellStyle name="Note 3 6 3" xfId="23718"/>
    <cellStyle name="Note 3 7" xfId="1599"/>
    <cellStyle name="Note 3 7 2" xfId="3895"/>
    <cellStyle name="Note 3 7 2 2" xfId="26670"/>
    <cellStyle name="Note 3 7 3" xfId="24374"/>
    <cellStyle name="Note 3 8" xfId="4551"/>
    <cellStyle name="Note 3 8 2" xfId="27326"/>
    <cellStyle name="Note 3 9" xfId="5207"/>
    <cellStyle name="Note 3 9 2" xfId="27982"/>
    <cellStyle name="Note 4" xfId="84"/>
    <cellStyle name="Note 4 10" xfId="5878"/>
    <cellStyle name="Note 4 10 2" xfId="28653"/>
    <cellStyle name="Note 4 11" xfId="2270"/>
    <cellStyle name="Note 4 11 2" xfId="25045"/>
    <cellStyle name="Note 4 12" xfId="6534"/>
    <cellStyle name="Note 4 12 2" xfId="29309"/>
    <cellStyle name="Note 4 13" xfId="7190"/>
    <cellStyle name="Note 4 13 2" xfId="29965"/>
    <cellStyle name="Note 4 14" xfId="7846"/>
    <cellStyle name="Note 4 14 2" xfId="30621"/>
    <cellStyle name="Note 4 15" xfId="8502"/>
    <cellStyle name="Note 4 15 2" xfId="31277"/>
    <cellStyle name="Note 4 16" xfId="9158"/>
    <cellStyle name="Note 4 16 2" xfId="31933"/>
    <cellStyle name="Note 4 17" xfId="9814"/>
    <cellStyle name="Note 4 17 2" xfId="32589"/>
    <cellStyle name="Note 4 18" xfId="10470"/>
    <cellStyle name="Note 4 18 2" xfId="33245"/>
    <cellStyle name="Note 4 19" xfId="11126"/>
    <cellStyle name="Note 4 19 2" xfId="33901"/>
    <cellStyle name="Note 4 2" xfId="157"/>
    <cellStyle name="Note 4 2 10" xfId="2355"/>
    <cellStyle name="Note 4 2 10 2" xfId="25130"/>
    <cellStyle name="Note 4 2 11" xfId="6619"/>
    <cellStyle name="Note 4 2 11 2" xfId="29394"/>
    <cellStyle name="Note 4 2 12" xfId="7275"/>
    <cellStyle name="Note 4 2 12 2" xfId="30050"/>
    <cellStyle name="Note 4 2 13" xfId="7931"/>
    <cellStyle name="Note 4 2 13 2" xfId="30706"/>
    <cellStyle name="Note 4 2 14" xfId="8587"/>
    <cellStyle name="Note 4 2 14 2" xfId="31362"/>
    <cellStyle name="Note 4 2 15" xfId="9243"/>
    <cellStyle name="Note 4 2 15 2" xfId="32018"/>
    <cellStyle name="Note 4 2 16" xfId="9899"/>
    <cellStyle name="Note 4 2 16 2" xfId="32674"/>
    <cellStyle name="Note 4 2 17" xfId="10555"/>
    <cellStyle name="Note 4 2 17 2" xfId="33330"/>
    <cellStyle name="Note 4 2 18" xfId="11211"/>
    <cellStyle name="Note 4 2 18 2" xfId="33986"/>
    <cellStyle name="Note 4 2 19" xfId="11867"/>
    <cellStyle name="Note 4 2 19 2" xfId="34642"/>
    <cellStyle name="Note 4 2 2" xfId="571"/>
    <cellStyle name="Note 4 2 2 10" xfId="6804"/>
    <cellStyle name="Note 4 2 2 10 2" xfId="29579"/>
    <cellStyle name="Note 4 2 2 11" xfId="7460"/>
    <cellStyle name="Note 4 2 2 11 2" xfId="30235"/>
    <cellStyle name="Note 4 2 2 12" xfId="8116"/>
    <cellStyle name="Note 4 2 2 12 2" xfId="30891"/>
    <cellStyle name="Note 4 2 2 13" xfId="8772"/>
    <cellStyle name="Note 4 2 2 13 2" xfId="31547"/>
    <cellStyle name="Note 4 2 2 14" xfId="9428"/>
    <cellStyle name="Note 4 2 2 14 2" xfId="32203"/>
    <cellStyle name="Note 4 2 2 15" xfId="10084"/>
    <cellStyle name="Note 4 2 2 15 2" xfId="32859"/>
    <cellStyle name="Note 4 2 2 16" xfId="10740"/>
    <cellStyle name="Note 4 2 2 16 2" xfId="33515"/>
    <cellStyle name="Note 4 2 2 17" xfId="11396"/>
    <cellStyle name="Note 4 2 2 17 2" xfId="34171"/>
    <cellStyle name="Note 4 2 2 18" xfId="12052"/>
    <cellStyle name="Note 4 2 2 18 2" xfId="34827"/>
    <cellStyle name="Note 4 2 2 19" xfId="12708"/>
    <cellStyle name="Note 4 2 2 19 2" xfId="35483"/>
    <cellStyle name="Note 4 2 2 2" xfId="900"/>
    <cellStyle name="Note 4 2 2 2 10" xfId="8444"/>
    <cellStyle name="Note 4 2 2 2 10 2" xfId="31219"/>
    <cellStyle name="Note 4 2 2 2 11" xfId="9100"/>
    <cellStyle name="Note 4 2 2 2 11 2" xfId="31875"/>
    <cellStyle name="Note 4 2 2 2 12" xfId="9756"/>
    <cellStyle name="Note 4 2 2 2 12 2" xfId="32531"/>
    <cellStyle name="Note 4 2 2 2 13" xfId="10412"/>
    <cellStyle name="Note 4 2 2 2 13 2" xfId="33187"/>
    <cellStyle name="Note 4 2 2 2 14" xfId="11068"/>
    <cellStyle name="Note 4 2 2 2 14 2" xfId="33843"/>
    <cellStyle name="Note 4 2 2 2 15" xfId="11724"/>
    <cellStyle name="Note 4 2 2 2 15 2" xfId="34499"/>
    <cellStyle name="Note 4 2 2 2 16" xfId="12380"/>
    <cellStyle name="Note 4 2 2 2 16 2" xfId="35155"/>
    <cellStyle name="Note 4 2 2 2 17" xfId="13036"/>
    <cellStyle name="Note 4 2 2 2 17 2" xfId="35811"/>
    <cellStyle name="Note 4 2 2 2 18" xfId="13692"/>
    <cellStyle name="Note 4 2 2 2 18 2" xfId="36467"/>
    <cellStyle name="Note 4 2 2 2 19" xfId="14348"/>
    <cellStyle name="Note 4 2 2 2 19 2" xfId="37123"/>
    <cellStyle name="Note 4 2 2 2 2" xfId="1556"/>
    <cellStyle name="Note 4 2 2 2 2 2" xfId="3852"/>
    <cellStyle name="Note 4 2 2 2 2 2 2" xfId="26627"/>
    <cellStyle name="Note 4 2 2 2 2 3" xfId="24331"/>
    <cellStyle name="Note 4 2 2 2 20" xfId="15004"/>
    <cellStyle name="Note 4 2 2 2 20 2" xfId="37779"/>
    <cellStyle name="Note 4 2 2 2 21" xfId="15660"/>
    <cellStyle name="Note 4 2 2 2 21 2" xfId="38435"/>
    <cellStyle name="Note 4 2 2 2 22" xfId="16316"/>
    <cellStyle name="Note 4 2 2 2 22 2" xfId="39091"/>
    <cellStyle name="Note 4 2 2 2 23" xfId="16972"/>
    <cellStyle name="Note 4 2 2 2 23 2" xfId="39747"/>
    <cellStyle name="Note 4 2 2 2 24" xfId="17628"/>
    <cellStyle name="Note 4 2 2 2 24 2" xfId="40403"/>
    <cellStyle name="Note 4 2 2 2 25" xfId="18284"/>
    <cellStyle name="Note 4 2 2 2 25 2" xfId="41059"/>
    <cellStyle name="Note 4 2 2 2 26" xfId="18940"/>
    <cellStyle name="Note 4 2 2 2 26 2" xfId="41715"/>
    <cellStyle name="Note 4 2 2 2 27" xfId="19596"/>
    <cellStyle name="Note 4 2 2 2 27 2" xfId="42371"/>
    <cellStyle name="Note 4 2 2 2 28" xfId="20252"/>
    <cellStyle name="Note 4 2 2 2 28 2" xfId="43027"/>
    <cellStyle name="Note 4 2 2 2 29" xfId="20908"/>
    <cellStyle name="Note 4 2 2 2 29 2" xfId="43683"/>
    <cellStyle name="Note 4 2 2 2 3" xfId="2212"/>
    <cellStyle name="Note 4 2 2 2 3 2" xfId="4508"/>
    <cellStyle name="Note 4 2 2 2 3 2 2" xfId="27283"/>
    <cellStyle name="Note 4 2 2 2 3 3" xfId="24987"/>
    <cellStyle name="Note 4 2 2 2 30" xfId="21564"/>
    <cellStyle name="Note 4 2 2 2 30 2" xfId="44339"/>
    <cellStyle name="Note 4 2 2 2 31" xfId="22220"/>
    <cellStyle name="Note 4 2 2 2 31 2" xfId="44995"/>
    <cellStyle name="Note 4 2 2 2 32" xfId="22876"/>
    <cellStyle name="Note 4 2 2 2 32 2" xfId="45651"/>
    <cellStyle name="Note 4 2 2 2 33" xfId="23675"/>
    <cellStyle name="Note 4 2 2 2 4" xfId="5164"/>
    <cellStyle name="Note 4 2 2 2 4 2" xfId="27939"/>
    <cellStyle name="Note 4 2 2 2 5" xfId="5820"/>
    <cellStyle name="Note 4 2 2 2 5 2" xfId="28595"/>
    <cellStyle name="Note 4 2 2 2 6" xfId="6476"/>
    <cellStyle name="Note 4 2 2 2 6 2" xfId="29251"/>
    <cellStyle name="Note 4 2 2 2 7" xfId="3196"/>
    <cellStyle name="Note 4 2 2 2 7 2" xfId="25971"/>
    <cellStyle name="Note 4 2 2 2 8" xfId="7132"/>
    <cellStyle name="Note 4 2 2 2 8 2" xfId="29907"/>
    <cellStyle name="Note 4 2 2 2 9" xfId="7788"/>
    <cellStyle name="Note 4 2 2 2 9 2" xfId="30563"/>
    <cellStyle name="Note 4 2 2 20" xfId="13364"/>
    <cellStyle name="Note 4 2 2 20 2" xfId="36139"/>
    <cellStyle name="Note 4 2 2 21" xfId="14020"/>
    <cellStyle name="Note 4 2 2 21 2" xfId="36795"/>
    <cellStyle name="Note 4 2 2 22" xfId="14676"/>
    <cellStyle name="Note 4 2 2 22 2" xfId="37451"/>
    <cellStyle name="Note 4 2 2 23" xfId="15332"/>
    <cellStyle name="Note 4 2 2 23 2" xfId="38107"/>
    <cellStyle name="Note 4 2 2 24" xfId="15988"/>
    <cellStyle name="Note 4 2 2 24 2" xfId="38763"/>
    <cellStyle name="Note 4 2 2 25" xfId="16644"/>
    <cellStyle name="Note 4 2 2 25 2" xfId="39419"/>
    <cellStyle name="Note 4 2 2 26" xfId="17300"/>
    <cellStyle name="Note 4 2 2 26 2" xfId="40075"/>
    <cellStyle name="Note 4 2 2 27" xfId="17956"/>
    <cellStyle name="Note 4 2 2 27 2" xfId="40731"/>
    <cellStyle name="Note 4 2 2 28" xfId="18612"/>
    <cellStyle name="Note 4 2 2 28 2" xfId="41387"/>
    <cellStyle name="Note 4 2 2 29" xfId="19268"/>
    <cellStyle name="Note 4 2 2 29 2" xfId="42043"/>
    <cellStyle name="Note 4 2 2 3" xfId="1228"/>
    <cellStyle name="Note 4 2 2 3 2" xfId="2868"/>
    <cellStyle name="Note 4 2 2 3 2 2" xfId="25643"/>
    <cellStyle name="Note 4 2 2 3 3" xfId="24003"/>
    <cellStyle name="Note 4 2 2 30" xfId="19924"/>
    <cellStyle name="Note 4 2 2 30 2" xfId="42699"/>
    <cellStyle name="Note 4 2 2 31" xfId="20580"/>
    <cellStyle name="Note 4 2 2 31 2" xfId="43355"/>
    <cellStyle name="Note 4 2 2 32" xfId="21236"/>
    <cellStyle name="Note 4 2 2 32 2" xfId="44011"/>
    <cellStyle name="Note 4 2 2 33" xfId="21892"/>
    <cellStyle name="Note 4 2 2 33 2" xfId="44667"/>
    <cellStyle name="Note 4 2 2 34" xfId="22548"/>
    <cellStyle name="Note 4 2 2 34 2" xfId="45323"/>
    <cellStyle name="Note 4 2 2 35" xfId="23347"/>
    <cellStyle name="Note 4 2 2 4" xfId="1884"/>
    <cellStyle name="Note 4 2 2 4 2" xfId="3524"/>
    <cellStyle name="Note 4 2 2 4 2 2" xfId="26299"/>
    <cellStyle name="Note 4 2 2 4 3" xfId="24659"/>
    <cellStyle name="Note 4 2 2 5" xfId="4180"/>
    <cellStyle name="Note 4 2 2 5 2" xfId="26955"/>
    <cellStyle name="Note 4 2 2 6" xfId="4836"/>
    <cellStyle name="Note 4 2 2 6 2" xfId="27611"/>
    <cellStyle name="Note 4 2 2 7" xfId="5492"/>
    <cellStyle name="Note 4 2 2 7 2" xfId="28267"/>
    <cellStyle name="Note 4 2 2 8" xfId="6148"/>
    <cellStyle name="Note 4 2 2 8 2" xfId="28923"/>
    <cellStyle name="Note 4 2 2 9" xfId="2540"/>
    <cellStyle name="Note 4 2 2 9 2" xfId="25315"/>
    <cellStyle name="Note 4 2 20" xfId="12523"/>
    <cellStyle name="Note 4 2 20 2" xfId="35298"/>
    <cellStyle name="Note 4 2 21" xfId="13179"/>
    <cellStyle name="Note 4 2 21 2" xfId="35954"/>
    <cellStyle name="Note 4 2 22" xfId="13835"/>
    <cellStyle name="Note 4 2 22 2" xfId="36610"/>
    <cellStyle name="Note 4 2 23" xfId="14491"/>
    <cellStyle name="Note 4 2 23 2" xfId="37266"/>
    <cellStyle name="Note 4 2 24" xfId="15147"/>
    <cellStyle name="Note 4 2 24 2" xfId="37922"/>
    <cellStyle name="Note 4 2 25" xfId="15803"/>
    <cellStyle name="Note 4 2 25 2" xfId="38578"/>
    <cellStyle name="Note 4 2 26" xfId="16459"/>
    <cellStyle name="Note 4 2 26 2" xfId="39234"/>
    <cellStyle name="Note 4 2 27" xfId="17115"/>
    <cellStyle name="Note 4 2 27 2" xfId="39890"/>
    <cellStyle name="Note 4 2 28" xfId="17771"/>
    <cellStyle name="Note 4 2 28 2" xfId="40546"/>
    <cellStyle name="Note 4 2 29" xfId="18427"/>
    <cellStyle name="Note 4 2 29 2" xfId="41202"/>
    <cellStyle name="Note 4 2 3" xfId="715"/>
    <cellStyle name="Note 4 2 3 10" xfId="8259"/>
    <cellStyle name="Note 4 2 3 10 2" xfId="31034"/>
    <cellStyle name="Note 4 2 3 11" xfId="8915"/>
    <cellStyle name="Note 4 2 3 11 2" xfId="31690"/>
    <cellStyle name="Note 4 2 3 12" xfId="9571"/>
    <cellStyle name="Note 4 2 3 12 2" xfId="32346"/>
    <cellStyle name="Note 4 2 3 13" xfId="10227"/>
    <cellStyle name="Note 4 2 3 13 2" xfId="33002"/>
    <cellStyle name="Note 4 2 3 14" xfId="10883"/>
    <cellStyle name="Note 4 2 3 14 2" xfId="33658"/>
    <cellStyle name="Note 4 2 3 15" xfId="11539"/>
    <cellStyle name="Note 4 2 3 15 2" xfId="34314"/>
    <cellStyle name="Note 4 2 3 16" xfId="12195"/>
    <cellStyle name="Note 4 2 3 16 2" xfId="34970"/>
    <cellStyle name="Note 4 2 3 17" xfId="12851"/>
    <cellStyle name="Note 4 2 3 17 2" xfId="35626"/>
    <cellStyle name="Note 4 2 3 18" xfId="13507"/>
    <cellStyle name="Note 4 2 3 18 2" xfId="36282"/>
    <cellStyle name="Note 4 2 3 19" xfId="14163"/>
    <cellStyle name="Note 4 2 3 19 2" xfId="36938"/>
    <cellStyle name="Note 4 2 3 2" xfId="1371"/>
    <cellStyle name="Note 4 2 3 2 2" xfId="3667"/>
    <cellStyle name="Note 4 2 3 2 2 2" xfId="26442"/>
    <cellStyle name="Note 4 2 3 2 3" xfId="24146"/>
    <cellStyle name="Note 4 2 3 20" xfId="14819"/>
    <cellStyle name="Note 4 2 3 20 2" xfId="37594"/>
    <cellStyle name="Note 4 2 3 21" xfId="15475"/>
    <cellStyle name="Note 4 2 3 21 2" xfId="38250"/>
    <cellStyle name="Note 4 2 3 22" xfId="16131"/>
    <cellStyle name="Note 4 2 3 22 2" xfId="38906"/>
    <cellStyle name="Note 4 2 3 23" xfId="16787"/>
    <cellStyle name="Note 4 2 3 23 2" xfId="39562"/>
    <cellStyle name="Note 4 2 3 24" xfId="17443"/>
    <cellStyle name="Note 4 2 3 24 2" xfId="40218"/>
    <cellStyle name="Note 4 2 3 25" xfId="18099"/>
    <cellStyle name="Note 4 2 3 25 2" xfId="40874"/>
    <cellStyle name="Note 4 2 3 26" xfId="18755"/>
    <cellStyle name="Note 4 2 3 26 2" xfId="41530"/>
    <cellStyle name="Note 4 2 3 27" xfId="19411"/>
    <cellStyle name="Note 4 2 3 27 2" xfId="42186"/>
    <cellStyle name="Note 4 2 3 28" xfId="20067"/>
    <cellStyle name="Note 4 2 3 28 2" xfId="42842"/>
    <cellStyle name="Note 4 2 3 29" xfId="20723"/>
    <cellStyle name="Note 4 2 3 29 2" xfId="43498"/>
    <cellStyle name="Note 4 2 3 3" xfId="2027"/>
    <cellStyle name="Note 4 2 3 3 2" xfId="4323"/>
    <cellStyle name="Note 4 2 3 3 2 2" xfId="27098"/>
    <cellStyle name="Note 4 2 3 3 3" xfId="24802"/>
    <cellStyle name="Note 4 2 3 30" xfId="21379"/>
    <cellStyle name="Note 4 2 3 30 2" xfId="44154"/>
    <cellStyle name="Note 4 2 3 31" xfId="22035"/>
    <cellStyle name="Note 4 2 3 31 2" xfId="44810"/>
    <cellStyle name="Note 4 2 3 32" xfId="22691"/>
    <cellStyle name="Note 4 2 3 32 2" xfId="45466"/>
    <cellStyle name="Note 4 2 3 33" xfId="23490"/>
    <cellStyle name="Note 4 2 3 4" xfId="4979"/>
    <cellStyle name="Note 4 2 3 4 2" xfId="27754"/>
    <cellStyle name="Note 4 2 3 5" xfId="5635"/>
    <cellStyle name="Note 4 2 3 5 2" xfId="28410"/>
    <cellStyle name="Note 4 2 3 6" xfId="6291"/>
    <cellStyle name="Note 4 2 3 6 2" xfId="29066"/>
    <cellStyle name="Note 4 2 3 7" xfId="3011"/>
    <cellStyle name="Note 4 2 3 7 2" xfId="25786"/>
    <cellStyle name="Note 4 2 3 8" xfId="6947"/>
    <cellStyle name="Note 4 2 3 8 2" xfId="29722"/>
    <cellStyle name="Note 4 2 3 9" xfId="7603"/>
    <cellStyle name="Note 4 2 3 9 2" xfId="30378"/>
    <cellStyle name="Note 4 2 30" xfId="19083"/>
    <cellStyle name="Note 4 2 30 2" xfId="41858"/>
    <cellStyle name="Note 4 2 31" xfId="19739"/>
    <cellStyle name="Note 4 2 31 2" xfId="42514"/>
    <cellStyle name="Note 4 2 32" xfId="20395"/>
    <cellStyle name="Note 4 2 32 2" xfId="43170"/>
    <cellStyle name="Note 4 2 33" xfId="21051"/>
    <cellStyle name="Note 4 2 33 2" xfId="43826"/>
    <cellStyle name="Note 4 2 34" xfId="21707"/>
    <cellStyle name="Note 4 2 34 2" xfId="44482"/>
    <cellStyle name="Note 4 2 35" xfId="22363"/>
    <cellStyle name="Note 4 2 35 2" xfId="45138"/>
    <cellStyle name="Note 4 2 36" xfId="23019"/>
    <cellStyle name="Note 4 2 4" xfId="388"/>
    <cellStyle name="Note 4 2 4 2" xfId="2683"/>
    <cellStyle name="Note 4 2 4 2 2" xfId="25458"/>
    <cellStyle name="Note 4 2 4 3" xfId="23162"/>
    <cellStyle name="Note 4 2 5" xfId="1043"/>
    <cellStyle name="Note 4 2 5 2" xfId="3339"/>
    <cellStyle name="Note 4 2 5 2 2" xfId="26114"/>
    <cellStyle name="Note 4 2 5 3" xfId="23818"/>
    <cellStyle name="Note 4 2 6" xfId="1699"/>
    <cellStyle name="Note 4 2 6 2" xfId="3995"/>
    <cellStyle name="Note 4 2 6 2 2" xfId="26770"/>
    <cellStyle name="Note 4 2 6 3" xfId="24474"/>
    <cellStyle name="Note 4 2 7" xfId="4651"/>
    <cellStyle name="Note 4 2 7 2" xfId="27426"/>
    <cellStyle name="Note 4 2 8" xfId="5307"/>
    <cellStyle name="Note 4 2 8 2" xfId="28082"/>
    <cellStyle name="Note 4 2 9" xfId="5963"/>
    <cellStyle name="Note 4 2 9 2" xfId="28738"/>
    <cellStyle name="Note 4 20" xfId="11782"/>
    <cellStyle name="Note 4 20 2" xfId="34557"/>
    <cellStyle name="Note 4 21" xfId="12438"/>
    <cellStyle name="Note 4 21 2" xfId="35213"/>
    <cellStyle name="Note 4 22" xfId="13094"/>
    <cellStyle name="Note 4 22 2" xfId="35869"/>
    <cellStyle name="Note 4 23" xfId="13750"/>
    <cellStyle name="Note 4 23 2" xfId="36525"/>
    <cellStyle name="Note 4 24" xfId="14406"/>
    <cellStyle name="Note 4 24 2" xfId="37181"/>
    <cellStyle name="Note 4 25" xfId="15062"/>
    <cellStyle name="Note 4 25 2" xfId="37837"/>
    <cellStyle name="Note 4 26" xfId="15718"/>
    <cellStyle name="Note 4 26 2" xfId="38493"/>
    <cellStyle name="Note 4 27" xfId="16374"/>
    <cellStyle name="Note 4 27 2" xfId="39149"/>
    <cellStyle name="Note 4 28" xfId="17030"/>
    <cellStyle name="Note 4 28 2" xfId="39805"/>
    <cellStyle name="Note 4 29" xfId="17686"/>
    <cellStyle name="Note 4 29 2" xfId="40461"/>
    <cellStyle name="Note 4 3" xfId="487"/>
    <cellStyle name="Note 4 3 10" xfId="6719"/>
    <cellStyle name="Note 4 3 10 2" xfId="29494"/>
    <cellStyle name="Note 4 3 11" xfId="7375"/>
    <cellStyle name="Note 4 3 11 2" xfId="30150"/>
    <cellStyle name="Note 4 3 12" xfId="8031"/>
    <cellStyle name="Note 4 3 12 2" xfId="30806"/>
    <cellStyle name="Note 4 3 13" xfId="8687"/>
    <cellStyle name="Note 4 3 13 2" xfId="31462"/>
    <cellStyle name="Note 4 3 14" xfId="9343"/>
    <cellStyle name="Note 4 3 14 2" xfId="32118"/>
    <cellStyle name="Note 4 3 15" xfId="9999"/>
    <cellStyle name="Note 4 3 15 2" xfId="32774"/>
    <cellStyle name="Note 4 3 16" xfId="10655"/>
    <cellStyle name="Note 4 3 16 2" xfId="33430"/>
    <cellStyle name="Note 4 3 17" xfId="11311"/>
    <cellStyle name="Note 4 3 17 2" xfId="34086"/>
    <cellStyle name="Note 4 3 18" xfId="11967"/>
    <cellStyle name="Note 4 3 18 2" xfId="34742"/>
    <cellStyle name="Note 4 3 19" xfId="12623"/>
    <cellStyle name="Note 4 3 19 2" xfId="35398"/>
    <cellStyle name="Note 4 3 2" xfId="815"/>
    <cellStyle name="Note 4 3 2 10" xfId="8359"/>
    <cellStyle name="Note 4 3 2 10 2" xfId="31134"/>
    <cellStyle name="Note 4 3 2 11" xfId="9015"/>
    <cellStyle name="Note 4 3 2 11 2" xfId="31790"/>
    <cellStyle name="Note 4 3 2 12" xfId="9671"/>
    <cellStyle name="Note 4 3 2 12 2" xfId="32446"/>
    <cellStyle name="Note 4 3 2 13" xfId="10327"/>
    <cellStyle name="Note 4 3 2 13 2" xfId="33102"/>
    <cellStyle name="Note 4 3 2 14" xfId="10983"/>
    <cellStyle name="Note 4 3 2 14 2" xfId="33758"/>
    <cellStyle name="Note 4 3 2 15" xfId="11639"/>
    <cellStyle name="Note 4 3 2 15 2" xfId="34414"/>
    <cellStyle name="Note 4 3 2 16" xfId="12295"/>
    <cellStyle name="Note 4 3 2 16 2" xfId="35070"/>
    <cellStyle name="Note 4 3 2 17" xfId="12951"/>
    <cellStyle name="Note 4 3 2 17 2" xfId="35726"/>
    <cellStyle name="Note 4 3 2 18" xfId="13607"/>
    <cellStyle name="Note 4 3 2 18 2" xfId="36382"/>
    <cellStyle name="Note 4 3 2 19" xfId="14263"/>
    <cellStyle name="Note 4 3 2 19 2" xfId="37038"/>
    <cellStyle name="Note 4 3 2 2" xfId="1471"/>
    <cellStyle name="Note 4 3 2 2 2" xfId="3767"/>
    <cellStyle name="Note 4 3 2 2 2 2" xfId="26542"/>
    <cellStyle name="Note 4 3 2 2 3" xfId="24246"/>
    <cellStyle name="Note 4 3 2 20" xfId="14919"/>
    <cellStyle name="Note 4 3 2 20 2" xfId="37694"/>
    <cellStyle name="Note 4 3 2 21" xfId="15575"/>
    <cellStyle name="Note 4 3 2 21 2" xfId="38350"/>
    <cellStyle name="Note 4 3 2 22" xfId="16231"/>
    <cellStyle name="Note 4 3 2 22 2" xfId="39006"/>
    <cellStyle name="Note 4 3 2 23" xfId="16887"/>
    <cellStyle name="Note 4 3 2 23 2" xfId="39662"/>
    <cellStyle name="Note 4 3 2 24" xfId="17543"/>
    <cellStyle name="Note 4 3 2 24 2" xfId="40318"/>
    <cellStyle name="Note 4 3 2 25" xfId="18199"/>
    <cellStyle name="Note 4 3 2 25 2" xfId="40974"/>
    <cellStyle name="Note 4 3 2 26" xfId="18855"/>
    <cellStyle name="Note 4 3 2 26 2" xfId="41630"/>
    <cellStyle name="Note 4 3 2 27" xfId="19511"/>
    <cellStyle name="Note 4 3 2 27 2" xfId="42286"/>
    <cellStyle name="Note 4 3 2 28" xfId="20167"/>
    <cellStyle name="Note 4 3 2 28 2" xfId="42942"/>
    <cellStyle name="Note 4 3 2 29" xfId="20823"/>
    <cellStyle name="Note 4 3 2 29 2" xfId="43598"/>
    <cellStyle name="Note 4 3 2 3" xfId="2127"/>
    <cellStyle name="Note 4 3 2 3 2" xfId="4423"/>
    <cellStyle name="Note 4 3 2 3 2 2" xfId="27198"/>
    <cellStyle name="Note 4 3 2 3 3" xfId="24902"/>
    <cellStyle name="Note 4 3 2 30" xfId="21479"/>
    <cellStyle name="Note 4 3 2 30 2" xfId="44254"/>
    <cellStyle name="Note 4 3 2 31" xfId="22135"/>
    <cellStyle name="Note 4 3 2 31 2" xfId="44910"/>
    <cellStyle name="Note 4 3 2 32" xfId="22791"/>
    <cellStyle name="Note 4 3 2 32 2" xfId="45566"/>
    <cellStyle name="Note 4 3 2 33" xfId="23590"/>
    <cellStyle name="Note 4 3 2 4" xfId="5079"/>
    <cellStyle name="Note 4 3 2 4 2" xfId="27854"/>
    <cellStyle name="Note 4 3 2 5" xfId="5735"/>
    <cellStyle name="Note 4 3 2 5 2" xfId="28510"/>
    <cellStyle name="Note 4 3 2 6" xfId="6391"/>
    <cellStyle name="Note 4 3 2 6 2" xfId="29166"/>
    <cellStyle name="Note 4 3 2 7" xfId="3111"/>
    <cellStyle name="Note 4 3 2 7 2" xfId="25886"/>
    <cellStyle name="Note 4 3 2 8" xfId="7047"/>
    <cellStyle name="Note 4 3 2 8 2" xfId="29822"/>
    <cellStyle name="Note 4 3 2 9" xfId="7703"/>
    <cellStyle name="Note 4 3 2 9 2" xfId="30478"/>
    <cellStyle name="Note 4 3 20" xfId="13279"/>
    <cellStyle name="Note 4 3 20 2" xfId="36054"/>
    <cellStyle name="Note 4 3 21" xfId="13935"/>
    <cellStyle name="Note 4 3 21 2" xfId="36710"/>
    <cellStyle name="Note 4 3 22" xfId="14591"/>
    <cellStyle name="Note 4 3 22 2" xfId="37366"/>
    <cellStyle name="Note 4 3 23" xfId="15247"/>
    <cellStyle name="Note 4 3 23 2" xfId="38022"/>
    <cellStyle name="Note 4 3 24" xfId="15903"/>
    <cellStyle name="Note 4 3 24 2" xfId="38678"/>
    <cellStyle name="Note 4 3 25" xfId="16559"/>
    <cellStyle name="Note 4 3 25 2" xfId="39334"/>
    <cellStyle name="Note 4 3 26" xfId="17215"/>
    <cellStyle name="Note 4 3 26 2" xfId="39990"/>
    <cellStyle name="Note 4 3 27" xfId="17871"/>
    <cellStyle name="Note 4 3 27 2" xfId="40646"/>
    <cellStyle name="Note 4 3 28" xfId="18527"/>
    <cellStyle name="Note 4 3 28 2" xfId="41302"/>
    <cellStyle name="Note 4 3 29" xfId="19183"/>
    <cellStyle name="Note 4 3 29 2" xfId="41958"/>
    <cellStyle name="Note 4 3 3" xfId="1143"/>
    <cellStyle name="Note 4 3 3 2" xfId="2783"/>
    <cellStyle name="Note 4 3 3 2 2" xfId="25558"/>
    <cellStyle name="Note 4 3 3 3" xfId="23918"/>
    <cellStyle name="Note 4 3 30" xfId="19839"/>
    <cellStyle name="Note 4 3 30 2" xfId="42614"/>
    <cellStyle name="Note 4 3 31" xfId="20495"/>
    <cellStyle name="Note 4 3 31 2" xfId="43270"/>
    <cellStyle name="Note 4 3 32" xfId="21151"/>
    <cellStyle name="Note 4 3 32 2" xfId="43926"/>
    <cellStyle name="Note 4 3 33" xfId="21807"/>
    <cellStyle name="Note 4 3 33 2" xfId="44582"/>
    <cellStyle name="Note 4 3 34" xfId="22463"/>
    <cellStyle name="Note 4 3 34 2" xfId="45238"/>
    <cellStyle name="Note 4 3 35" xfId="23262"/>
    <cellStyle name="Note 4 3 4" xfId="1799"/>
    <cellStyle name="Note 4 3 4 2" xfId="3439"/>
    <cellStyle name="Note 4 3 4 2 2" xfId="26214"/>
    <cellStyle name="Note 4 3 4 3" xfId="24574"/>
    <cellStyle name="Note 4 3 5" xfId="4095"/>
    <cellStyle name="Note 4 3 5 2" xfId="26870"/>
    <cellStyle name="Note 4 3 6" xfId="4751"/>
    <cellStyle name="Note 4 3 6 2" xfId="27526"/>
    <cellStyle name="Note 4 3 7" xfId="5407"/>
    <cellStyle name="Note 4 3 7 2" xfId="28182"/>
    <cellStyle name="Note 4 3 8" xfId="6063"/>
    <cellStyle name="Note 4 3 8 2" xfId="28838"/>
    <cellStyle name="Note 4 3 9" xfId="2455"/>
    <cellStyle name="Note 4 3 9 2" xfId="25230"/>
    <cellStyle name="Note 4 30" xfId="18342"/>
    <cellStyle name="Note 4 30 2" xfId="41117"/>
    <cellStyle name="Note 4 31" xfId="18998"/>
    <cellStyle name="Note 4 31 2" xfId="41773"/>
    <cellStyle name="Note 4 32" xfId="19654"/>
    <cellStyle name="Note 4 32 2" xfId="42429"/>
    <cellStyle name="Note 4 33" xfId="20310"/>
    <cellStyle name="Note 4 33 2" xfId="43085"/>
    <cellStyle name="Note 4 34" xfId="20966"/>
    <cellStyle name="Note 4 34 2" xfId="43741"/>
    <cellStyle name="Note 4 35" xfId="21622"/>
    <cellStyle name="Note 4 35 2" xfId="44397"/>
    <cellStyle name="Note 4 36" xfId="22278"/>
    <cellStyle name="Note 4 36 2" xfId="45053"/>
    <cellStyle name="Note 4 37" xfId="217"/>
    <cellStyle name="Note 4 38" xfId="22934"/>
    <cellStyle name="Note 4 4" xfId="630"/>
    <cellStyle name="Note 4 4 10" xfId="8174"/>
    <cellStyle name="Note 4 4 10 2" xfId="30949"/>
    <cellStyle name="Note 4 4 11" xfId="8830"/>
    <cellStyle name="Note 4 4 11 2" xfId="31605"/>
    <cellStyle name="Note 4 4 12" xfId="9486"/>
    <cellStyle name="Note 4 4 12 2" xfId="32261"/>
    <cellStyle name="Note 4 4 13" xfId="10142"/>
    <cellStyle name="Note 4 4 13 2" xfId="32917"/>
    <cellStyle name="Note 4 4 14" xfId="10798"/>
    <cellStyle name="Note 4 4 14 2" xfId="33573"/>
    <cellStyle name="Note 4 4 15" xfId="11454"/>
    <cellStyle name="Note 4 4 15 2" xfId="34229"/>
    <cellStyle name="Note 4 4 16" xfId="12110"/>
    <cellStyle name="Note 4 4 16 2" xfId="34885"/>
    <cellStyle name="Note 4 4 17" xfId="12766"/>
    <cellStyle name="Note 4 4 17 2" xfId="35541"/>
    <cellStyle name="Note 4 4 18" xfId="13422"/>
    <cellStyle name="Note 4 4 18 2" xfId="36197"/>
    <cellStyle name="Note 4 4 19" xfId="14078"/>
    <cellStyle name="Note 4 4 19 2" xfId="36853"/>
    <cellStyle name="Note 4 4 2" xfId="1286"/>
    <cellStyle name="Note 4 4 2 2" xfId="3582"/>
    <cellStyle name="Note 4 4 2 2 2" xfId="26357"/>
    <cellStyle name="Note 4 4 2 3" xfId="24061"/>
    <cellStyle name="Note 4 4 20" xfId="14734"/>
    <cellStyle name="Note 4 4 20 2" xfId="37509"/>
    <cellStyle name="Note 4 4 21" xfId="15390"/>
    <cellStyle name="Note 4 4 21 2" xfId="38165"/>
    <cellStyle name="Note 4 4 22" xfId="16046"/>
    <cellStyle name="Note 4 4 22 2" xfId="38821"/>
    <cellStyle name="Note 4 4 23" xfId="16702"/>
    <cellStyle name="Note 4 4 23 2" xfId="39477"/>
    <cellStyle name="Note 4 4 24" xfId="17358"/>
    <cellStyle name="Note 4 4 24 2" xfId="40133"/>
    <cellStyle name="Note 4 4 25" xfId="18014"/>
    <cellStyle name="Note 4 4 25 2" xfId="40789"/>
    <cellStyle name="Note 4 4 26" xfId="18670"/>
    <cellStyle name="Note 4 4 26 2" xfId="41445"/>
    <cellStyle name="Note 4 4 27" xfId="19326"/>
    <cellStyle name="Note 4 4 27 2" xfId="42101"/>
    <cellStyle name="Note 4 4 28" xfId="19982"/>
    <cellStyle name="Note 4 4 28 2" xfId="42757"/>
    <cellStyle name="Note 4 4 29" xfId="20638"/>
    <cellStyle name="Note 4 4 29 2" xfId="43413"/>
    <cellStyle name="Note 4 4 3" xfId="1942"/>
    <cellStyle name="Note 4 4 3 2" xfId="4238"/>
    <cellStyle name="Note 4 4 3 2 2" xfId="27013"/>
    <cellStyle name="Note 4 4 3 3" xfId="24717"/>
    <cellStyle name="Note 4 4 30" xfId="21294"/>
    <cellStyle name="Note 4 4 30 2" xfId="44069"/>
    <cellStyle name="Note 4 4 31" xfId="21950"/>
    <cellStyle name="Note 4 4 31 2" xfId="44725"/>
    <cellStyle name="Note 4 4 32" xfId="22606"/>
    <cellStyle name="Note 4 4 32 2" xfId="45381"/>
    <cellStyle name="Note 4 4 33" xfId="23405"/>
    <cellStyle name="Note 4 4 4" xfId="4894"/>
    <cellStyle name="Note 4 4 4 2" xfId="27669"/>
    <cellStyle name="Note 4 4 5" xfId="5550"/>
    <cellStyle name="Note 4 4 5 2" xfId="28325"/>
    <cellStyle name="Note 4 4 6" xfId="6206"/>
    <cellStyle name="Note 4 4 6 2" xfId="28981"/>
    <cellStyle name="Note 4 4 7" xfId="2926"/>
    <cellStyle name="Note 4 4 7 2" xfId="25701"/>
    <cellStyle name="Note 4 4 8" xfId="6862"/>
    <cellStyle name="Note 4 4 8 2" xfId="29637"/>
    <cellStyle name="Note 4 4 9" xfId="7518"/>
    <cellStyle name="Note 4 4 9 2" xfId="30293"/>
    <cellStyle name="Note 4 5" xfId="303"/>
    <cellStyle name="Note 4 5 2" xfId="2598"/>
    <cellStyle name="Note 4 5 2 2" xfId="25373"/>
    <cellStyle name="Note 4 5 3" xfId="23077"/>
    <cellStyle name="Note 4 6" xfId="958"/>
    <cellStyle name="Note 4 6 2" xfId="3254"/>
    <cellStyle name="Note 4 6 2 2" xfId="26029"/>
    <cellStyle name="Note 4 6 3" xfId="23733"/>
    <cellStyle name="Note 4 7" xfId="1614"/>
    <cellStyle name="Note 4 7 2" xfId="3910"/>
    <cellStyle name="Note 4 7 2 2" xfId="26685"/>
    <cellStyle name="Note 4 7 3" xfId="24389"/>
    <cellStyle name="Note 4 8" xfId="4566"/>
    <cellStyle name="Note 4 8 2" xfId="27341"/>
    <cellStyle name="Note 4 9" xfId="5222"/>
    <cellStyle name="Note 4 9 2" xfId="27997"/>
    <cellStyle name="Note 5" xfId="86"/>
    <cellStyle name="Note 5 10" xfId="5892"/>
    <cellStyle name="Note 5 10 2" xfId="28667"/>
    <cellStyle name="Note 5 11" xfId="2284"/>
    <cellStyle name="Note 5 11 2" xfId="25059"/>
    <cellStyle name="Note 5 12" xfId="6548"/>
    <cellStyle name="Note 5 12 2" xfId="29323"/>
    <cellStyle name="Note 5 13" xfId="7204"/>
    <cellStyle name="Note 5 13 2" xfId="29979"/>
    <cellStyle name="Note 5 14" xfId="7860"/>
    <cellStyle name="Note 5 14 2" xfId="30635"/>
    <cellStyle name="Note 5 15" xfId="8516"/>
    <cellStyle name="Note 5 15 2" xfId="31291"/>
    <cellStyle name="Note 5 16" xfId="9172"/>
    <cellStyle name="Note 5 16 2" xfId="31947"/>
    <cellStyle name="Note 5 17" xfId="9828"/>
    <cellStyle name="Note 5 17 2" xfId="32603"/>
    <cellStyle name="Note 5 18" xfId="10484"/>
    <cellStyle name="Note 5 18 2" xfId="33259"/>
    <cellStyle name="Note 5 19" xfId="11140"/>
    <cellStyle name="Note 5 19 2" xfId="33915"/>
    <cellStyle name="Note 5 2" xfId="171"/>
    <cellStyle name="Note 5 2 10" xfId="2369"/>
    <cellStyle name="Note 5 2 10 2" xfId="25144"/>
    <cellStyle name="Note 5 2 11" xfId="6633"/>
    <cellStyle name="Note 5 2 11 2" xfId="29408"/>
    <cellStyle name="Note 5 2 12" xfId="7289"/>
    <cellStyle name="Note 5 2 12 2" xfId="30064"/>
    <cellStyle name="Note 5 2 13" xfId="7945"/>
    <cellStyle name="Note 5 2 13 2" xfId="30720"/>
    <cellStyle name="Note 5 2 14" xfId="8601"/>
    <cellStyle name="Note 5 2 14 2" xfId="31376"/>
    <cellStyle name="Note 5 2 15" xfId="9257"/>
    <cellStyle name="Note 5 2 15 2" xfId="32032"/>
    <cellStyle name="Note 5 2 16" xfId="9913"/>
    <cellStyle name="Note 5 2 16 2" xfId="32688"/>
    <cellStyle name="Note 5 2 17" xfId="10569"/>
    <cellStyle name="Note 5 2 17 2" xfId="33344"/>
    <cellStyle name="Note 5 2 18" xfId="11225"/>
    <cellStyle name="Note 5 2 18 2" xfId="34000"/>
    <cellStyle name="Note 5 2 19" xfId="11881"/>
    <cellStyle name="Note 5 2 19 2" xfId="34656"/>
    <cellStyle name="Note 5 2 2" xfId="585"/>
    <cellStyle name="Note 5 2 2 10" xfId="6818"/>
    <cellStyle name="Note 5 2 2 10 2" xfId="29593"/>
    <cellStyle name="Note 5 2 2 11" xfId="7474"/>
    <cellStyle name="Note 5 2 2 11 2" xfId="30249"/>
    <cellStyle name="Note 5 2 2 12" xfId="8130"/>
    <cellStyle name="Note 5 2 2 12 2" xfId="30905"/>
    <cellStyle name="Note 5 2 2 13" xfId="8786"/>
    <cellStyle name="Note 5 2 2 13 2" xfId="31561"/>
    <cellStyle name="Note 5 2 2 14" xfId="9442"/>
    <cellStyle name="Note 5 2 2 14 2" xfId="32217"/>
    <cellStyle name="Note 5 2 2 15" xfId="10098"/>
    <cellStyle name="Note 5 2 2 15 2" xfId="32873"/>
    <cellStyle name="Note 5 2 2 16" xfId="10754"/>
    <cellStyle name="Note 5 2 2 16 2" xfId="33529"/>
    <cellStyle name="Note 5 2 2 17" xfId="11410"/>
    <cellStyle name="Note 5 2 2 17 2" xfId="34185"/>
    <cellStyle name="Note 5 2 2 18" xfId="12066"/>
    <cellStyle name="Note 5 2 2 18 2" xfId="34841"/>
    <cellStyle name="Note 5 2 2 19" xfId="12722"/>
    <cellStyle name="Note 5 2 2 19 2" xfId="35497"/>
    <cellStyle name="Note 5 2 2 2" xfId="914"/>
    <cellStyle name="Note 5 2 2 2 10" xfId="8458"/>
    <cellStyle name="Note 5 2 2 2 10 2" xfId="31233"/>
    <cellStyle name="Note 5 2 2 2 11" xfId="9114"/>
    <cellStyle name="Note 5 2 2 2 11 2" xfId="31889"/>
    <cellStyle name="Note 5 2 2 2 12" xfId="9770"/>
    <cellStyle name="Note 5 2 2 2 12 2" xfId="32545"/>
    <cellStyle name="Note 5 2 2 2 13" xfId="10426"/>
    <cellStyle name="Note 5 2 2 2 13 2" xfId="33201"/>
    <cellStyle name="Note 5 2 2 2 14" xfId="11082"/>
    <cellStyle name="Note 5 2 2 2 14 2" xfId="33857"/>
    <cellStyle name="Note 5 2 2 2 15" xfId="11738"/>
    <cellStyle name="Note 5 2 2 2 15 2" xfId="34513"/>
    <cellStyle name="Note 5 2 2 2 16" xfId="12394"/>
    <cellStyle name="Note 5 2 2 2 16 2" xfId="35169"/>
    <cellStyle name="Note 5 2 2 2 17" xfId="13050"/>
    <cellStyle name="Note 5 2 2 2 17 2" xfId="35825"/>
    <cellStyle name="Note 5 2 2 2 18" xfId="13706"/>
    <cellStyle name="Note 5 2 2 2 18 2" xfId="36481"/>
    <cellStyle name="Note 5 2 2 2 19" xfId="14362"/>
    <cellStyle name="Note 5 2 2 2 19 2" xfId="37137"/>
    <cellStyle name="Note 5 2 2 2 2" xfId="1570"/>
    <cellStyle name="Note 5 2 2 2 2 2" xfId="3866"/>
    <cellStyle name="Note 5 2 2 2 2 2 2" xfId="26641"/>
    <cellStyle name="Note 5 2 2 2 2 3" xfId="24345"/>
    <cellStyle name="Note 5 2 2 2 20" xfId="15018"/>
    <cellStyle name="Note 5 2 2 2 20 2" xfId="37793"/>
    <cellStyle name="Note 5 2 2 2 21" xfId="15674"/>
    <cellStyle name="Note 5 2 2 2 21 2" xfId="38449"/>
    <cellStyle name="Note 5 2 2 2 22" xfId="16330"/>
    <cellStyle name="Note 5 2 2 2 22 2" xfId="39105"/>
    <cellStyle name="Note 5 2 2 2 23" xfId="16986"/>
    <cellStyle name="Note 5 2 2 2 23 2" xfId="39761"/>
    <cellStyle name="Note 5 2 2 2 24" xfId="17642"/>
    <cellStyle name="Note 5 2 2 2 24 2" xfId="40417"/>
    <cellStyle name="Note 5 2 2 2 25" xfId="18298"/>
    <cellStyle name="Note 5 2 2 2 25 2" xfId="41073"/>
    <cellStyle name="Note 5 2 2 2 26" xfId="18954"/>
    <cellStyle name="Note 5 2 2 2 26 2" xfId="41729"/>
    <cellStyle name="Note 5 2 2 2 27" xfId="19610"/>
    <cellStyle name="Note 5 2 2 2 27 2" xfId="42385"/>
    <cellStyle name="Note 5 2 2 2 28" xfId="20266"/>
    <cellStyle name="Note 5 2 2 2 28 2" xfId="43041"/>
    <cellStyle name="Note 5 2 2 2 29" xfId="20922"/>
    <cellStyle name="Note 5 2 2 2 29 2" xfId="43697"/>
    <cellStyle name="Note 5 2 2 2 3" xfId="2226"/>
    <cellStyle name="Note 5 2 2 2 3 2" xfId="4522"/>
    <cellStyle name="Note 5 2 2 2 3 2 2" xfId="27297"/>
    <cellStyle name="Note 5 2 2 2 3 3" xfId="25001"/>
    <cellStyle name="Note 5 2 2 2 30" xfId="21578"/>
    <cellStyle name="Note 5 2 2 2 30 2" xfId="44353"/>
    <cellStyle name="Note 5 2 2 2 31" xfId="22234"/>
    <cellStyle name="Note 5 2 2 2 31 2" xfId="45009"/>
    <cellStyle name="Note 5 2 2 2 32" xfId="22890"/>
    <cellStyle name="Note 5 2 2 2 32 2" xfId="45665"/>
    <cellStyle name="Note 5 2 2 2 33" xfId="23689"/>
    <cellStyle name="Note 5 2 2 2 4" xfId="5178"/>
    <cellStyle name="Note 5 2 2 2 4 2" xfId="27953"/>
    <cellStyle name="Note 5 2 2 2 5" xfId="5834"/>
    <cellStyle name="Note 5 2 2 2 5 2" xfId="28609"/>
    <cellStyle name="Note 5 2 2 2 6" xfId="6490"/>
    <cellStyle name="Note 5 2 2 2 6 2" xfId="29265"/>
    <cellStyle name="Note 5 2 2 2 7" xfId="3210"/>
    <cellStyle name="Note 5 2 2 2 7 2" xfId="25985"/>
    <cellStyle name="Note 5 2 2 2 8" xfId="7146"/>
    <cellStyle name="Note 5 2 2 2 8 2" xfId="29921"/>
    <cellStyle name="Note 5 2 2 2 9" xfId="7802"/>
    <cellStyle name="Note 5 2 2 2 9 2" xfId="30577"/>
    <cellStyle name="Note 5 2 2 20" xfId="13378"/>
    <cellStyle name="Note 5 2 2 20 2" xfId="36153"/>
    <cellStyle name="Note 5 2 2 21" xfId="14034"/>
    <cellStyle name="Note 5 2 2 21 2" xfId="36809"/>
    <cellStyle name="Note 5 2 2 22" xfId="14690"/>
    <cellStyle name="Note 5 2 2 22 2" xfId="37465"/>
    <cellStyle name="Note 5 2 2 23" xfId="15346"/>
    <cellStyle name="Note 5 2 2 23 2" xfId="38121"/>
    <cellStyle name="Note 5 2 2 24" xfId="16002"/>
    <cellStyle name="Note 5 2 2 24 2" xfId="38777"/>
    <cellStyle name="Note 5 2 2 25" xfId="16658"/>
    <cellStyle name="Note 5 2 2 25 2" xfId="39433"/>
    <cellStyle name="Note 5 2 2 26" xfId="17314"/>
    <cellStyle name="Note 5 2 2 26 2" xfId="40089"/>
    <cellStyle name="Note 5 2 2 27" xfId="17970"/>
    <cellStyle name="Note 5 2 2 27 2" xfId="40745"/>
    <cellStyle name="Note 5 2 2 28" xfId="18626"/>
    <cellStyle name="Note 5 2 2 28 2" xfId="41401"/>
    <cellStyle name="Note 5 2 2 29" xfId="19282"/>
    <cellStyle name="Note 5 2 2 29 2" xfId="42057"/>
    <cellStyle name="Note 5 2 2 3" xfId="1242"/>
    <cellStyle name="Note 5 2 2 3 2" xfId="2882"/>
    <cellStyle name="Note 5 2 2 3 2 2" xfId="25657"/>
    <cellStyle name="Note 5 2 2 3 3" xfId="24017"/>
    <cellStyle name="Note 5 2 2 30" xfId="19938"/>
    <cellStyle name="Note 5 2 2 30 2" xfId="42713"/>
    <cellStyle name="Note 5 2 2 31" xfId="20594"/>
    <cellStyle name="Note 5 2 2 31 2" xfId="43369"/>
    <cellStyle name="Note 5 2 2 32" xfId="21250"/>
    <cellStyle name="Note 5 2 2 32 2" xfId="44025"/>
    <cellStyle name="Note 5 2 2 33" xfId="21906"/>
    <cellStyle name="Note 5 2 2 33 2" xfId="44681"/>
    <cellStyle name="Note 5 2 2 34" xfId="22562"/>
    <cellStyle name="Note 5 2 2 34 2" xfId="45337"/>
    <cellStyle name="Note 5 2 2 35" xfId="23361"/>
    <cellStyle name="Note 5 2 2 4" xfId="1898"/>
    <cellStyle name="Note 5 2 2 4 2" xfId="3538"/>
    <cellStyle name="Note 5 2 2 4 2 2" xfId="26313"/>
    <cellStyle name="Note 5 2 2 4 3" xfId="24673"/>
    <cellStyle name="Note 5 2 2 5" xfId="4194"/>
    <cellStyle name="Note 5 2 2 5 2" xfId="26969"/>
    <cellStyle name="Note 5 2 2 6" xfId="4850"/>
    <cellStyle name="Note 5 2 2 6 2" xfId="27625"/>
    <cellStyle name="Note 5 2 2 7" xfId="5506"/>
    <cellStyle name="Note 5 2 2 7 2" xfId="28281"/>
    <cellStyle name="Note 5 2 2 8" xfId="6162"/>
    <cellStyle name="Note 5 2 2 8 2" xfId="28937"/>
    <cellStyle name="Note 5 2 2 9" xfId="2554"/>
    <cellStyle name="Note 5 2 2 9 2" xfId="25329"/>
    <cellStyle name="Note 5 2 20" xfId="12537"/>
    <cellStyle name="Note 5 2 20 2" xfId="35312"/>
    <cellStyle name="Note 5 2 21" xfId="13193"/>
    <cellStyle name="Note 5 2 21 2" xfId="35968"/>
    <cellStyle name="Note 5 2 22" xfId="13849"/>
    <cellStyle name="Note 5 2 22 2" xfId="36624"/>
    <cellStyle name="Note 5 2 23" xfId="14505"/>
    <cellStyle name="Note 5 2 23 2" xfId="37280"/>
    <cellStyle name="Note 5 2 24" xfId="15161"/>
    <cellStyle name="Note 5 2 24 2" xfId="37936"/>
    <cellStyle name="Note 5 2 25" xfId="15817"/>
    <cellStyle name="Note 5 2 25 2" xfId="38592"/>
    <cellStyle name="Note 5 2 26" xfId="16473"/>
    <cellStyle name="Note 5 2 26 2" xfId="39248"/>
    <cellStyle name="Note 5 2 27" xfId="17129"/>
    <cellStyle name="Note 5 2 27 2" xfId="39904"/>
    <cellStyle name="Note 5 2 28" xfId="17785"/>
    <cellStyle name="Note 5 2 28 2" xfId="40560"/>
    <cellStyle name="Note 5 2 29" xfId="18441"/>
    <cellStyle name="Note 5 2 29 2" xfId="41216"/>
    <cellStyle name="Note 5 2 3" xfId="729"/>
    <cellStyle name="Note 5 2 3 10" xfId="8273"/>
    <cellStyle name="Note 5 2 3 10 2" xfId="31048"/>
    <cellStyle name="Note 5 2 3 11" xfId="8929"/>
    <cellStyle name="Note 5 2 3 11 2" xfId="31704"/>
    <cellStyle name="Note 5 2 3 12" xfId="9585"/>
    <cellStyle name="Note 5 2 3 12 2" xfId="32360"/>
    <cellStyle name="Note 5 2 3 13" xfId="10241"/>
    <cellStyle name="Note 5 2 3 13 2" xfId="33016"/>
    <cellStyle name="Note 5 2 3 14" xfId="10897"/>
    <cellStyle name="Note 5 2 3 14 2" xfId="33672"/>
    <cellStyle name="Note 5 2 3 15" xfId="11553"/>
    <cellStyle name="Note 5 2 3 15 2" xfId="34328"/>
    <cellStyle name="Note 5 2 3 16" xfId="12209"/>
    <cellStyle name="Note 5 2 3 16 2" xfId="34984"/>
    <cellStyle name="Note 5 2 3 17" xfId="12865"/>
    <cellStyle name="Note 5 2 3 17 2" xfId="35640"/>
    <cellStyle name="Note 5 2 3 18" xfId="13521"/>
    <cellStyle name="Note 5 2 3 18 2" xfId="36296"/>
    <cellStyle name="Note 5 2 3 19" xfId="14177"/>
    <cellStyle name="Note 5 2 3 19 2" xfId="36952"/>
    <cellStyle name="Note 5 2 3 2" xfId="1385"/>
    <cellStyle name="Note 5 2 3 2 2" xfId="3681"/>
    <cellStyle name="Note 5 2 3 2 2 2" xfId="26456"/>
    <cellStyle name="Note 5 2 3 2 3" xfId="24160"/>
    <cellStyle name="Note 5 2 3 20" xfId="14833"/>
    <cellStyle name="Note 5 2 3 20 2" xfId="37608"/>
    <cellStyle name="Note 5 2 3 21" xfId="15489"/>
    <cellStyle name="Note 5 2 3 21 2" xfId="38264"/>
    <cellStyle name="Note 5 2 3 22" xfId="16145"/>
    <cellStyle name="Note 5 2 3 22 2" xfId="38920"/>
    <cellStyle name="Note 5 2 3 23" xfId="16801"/>
    <cellStyle name="Note 5 2 3 23 2" xfId="39576"/>
    <cellStyle name="Note 5 2 3 24" xfId="17457"/>
    <cellStyle name="Note 5 2 3 24 2" xfId="40232"/>
    <cellStyle name="Note 5 2 3 25" xfId="18113"/>
    <cellStyle name="Note 5 2 3 25 2" xfId="40888"/>
    <cellStyle name="Note 5 2 3 26" xfId="18769"/>
    <cellStyle name="Note 5 2 3 26 2" xfId="41544"/>
    <cellStyle name="Note 5 2 3 27" xfId="19425"/>
    <cellStyle name="Note 5 2 3 27 2" xfId="42200"/>
    <cellStyle name="Note 5 2 3 28" xfId="20081"/>
    <cellStyle name="Note 5 2 3 28 2" xfId="42856"/>
    <cellStyle name="Note 5 2 3 29" xfId="20737"/>
    <cellStyle name="Note 5 2 3 29 2" xfId="43512"/>
    <cellStyle name="Note 5 2 3 3" xfId="2041"/>
    <cellStyle name="Note 5 2 3 3 2" xfId="4337"/>
    <cellStyle name="Note 5 2 3 3 2 2" xfId="27112"/>
    <cellStyle name="Note 5 2 3 3 3" xfId="24816"/>
    <cellStyle name="Note 5 2 3 30" xfId="21393"/>
    <cellStyle name="Note 5 2 3 30 2" xfId="44168"/>
    <cellStyle name="Note 5 2 3 31" xfId="22049"/>
    <cellStyle name="Note 5 2 3 31 2" xfId="44824"/>
    <cellStyle name="Note 5 2 3 32" xfId="22705"/>
    <cellStyle name="Note 5 2 3 32 2" xfId="45480"/>
    <cellStyle name="Note 5 2 3 33" xfId="23504"/>
    <cellStyle name="Note 5 2 3 4" xfId="4993"/>
    <cellStyle name="Note 5 2 3 4 2" xfId="27768"/>
    <cellStyle name="Note 5 2 3 5" xfId="5649"/>
    <cellStyle name="Note 5 2 3 5 2" xfId="28424"/>
    <cellStyle name="Note 5 2 3 6" xfId="6305"/>
    <cellStyle name="Note 5 2 3 6 2" xfId="29080"/>
    <cellStyle name="Note 5 2 3 7" xfId="3025"/>
    <cellStyle name="Note 5 2 3 7 2" xfId="25800"/>
    <cellStyle name="Note 5 2 3 8" xfId="6961"/>
    <cellStyle name="Note 5 2 3 8 2" xfId="29736"/>
    <cellStyle name="Note 5 2 3 9" xfId="7617"/>
    <cellStyle name="Note 5 2 3 9 2" xfId="30392"/>
    <cellStyle name="Note 5 2 30" xfId="19097"/>
    <cellStyle name="Note 5 2 30 2" xfId="41872"/>
    <cellStyle name="Note 5 2 31" xfId="19753"/>
    <cellStyle name="Note 5 2 31 2" xfId="42528"/>
    <cellStyle name="Note 5 2 32" xfId="20409"/>
    <cellStyle name="Note 5 2 32 2" xfId="43184"/>
    <cellStyle name="Note 5 2 33" xfId="21065"/>
    <cellStyle name="Note 5 2 33 2" xfId="43840"/>
    <cellStyle name="Note 5 2 34" xfId="21721"/>
    <cellStyle name="Note 5 2 34 2" xfId="44496"/>
    <cellStyle name="Note 5 2 35" xfId="22377"/>
    <cellStyle name="Note 5 2 35 2" xfId="45152"/>
    <cellStyle name="Note 5 2 36" xfId="23033"/>
    <cellStyle name="Note 5 2 4" xfId="402"/>
    <cellStyle name="Note 5 2 4 2" xfId="2697"/>
    <cellStyle name="Note 5 2 4 2 2" xfId="25472"/>
    <cellStyle name="Note 5 2 4 3" xfId="23176"/>
    <cellStyle name="Note 5 2 5" xfId="1057"/>
    <cellStyle name="Note 5 2 5 2" xfId="3353"/>
    <cellStyle name="Note 5 2 5 2 2" xfId="26128"/>
    <cellStyle name="Note 5 2 5 3" xfId="23832"/>
    <cellStyle name="Note 5 2 6" xfId="1713"/>
    <cellStyle name="Note 5 2 6 2" xfId="4009"/>
    <cellStyle name="Note 5 2 6 2 2" xfId="26784"/>
    <cellStyle name="Note 5 2 6 3" xfId="24488"/>
    <cellStyle name="Note 5 2 7" xfId="4665"/>
    <cellStyle name="Note 5 2 7 2" xfId="27440"/>
    <cellStyle name="Note 5 2 8" xfId="5321"/>
    <cellStyle name="Note 5 2 8 2" xfId="28096"/>
    <cellStyle name="Note 5 2 9" xfId="5977"/>
    <cellStyle name="Note 5 2 9 2" xfId="28752"/>
    <cellStyle name="Note 5 20" xfId="11796"/>
    <cellStyle name="Note 5 20 2" xfId="34571"/>
    <cellStyle name="Note 5 21" xfId="12452"/>
    <cellStyle name="Note 5 21 2" xfId="35227"/>
    <cellStyle name="Note 5 22" xfId="13108"/>
    <cellStyle name="Note 5 22 2" xfId="35883"/>
    <cellStyle name="Note 5 23" xfId="13764"/>
    <cellStyle name="Note 5 23 2" xfId="36539"/>
    <cellStyle name="Note 5 24" xfId="14420"/>
    <cellStyle name="Note 5 24 2" xfId="37195"/>
    <cellStyle name="Note 5 25" xfId="15076"/>
    <cellStyle name="Note 5 25 2" xfId="37851"/>
    <cellStyle name="Note 5 26" xfId="15732"/>
    <cellStyle name="Note 5 26 2" xfId="38507"/>
    <cellStyle name="Note 5 27" xfId="16388"/>
    <cellStyle name="Note 5 27 2" xfId="39163"/>
    <cellStyle name="Note 5 28" xfId="17044"/>
    <cellStyle name="Note 5 28 2" xfId="39819"/>
    <cellStyle name="Note 5 29" xfId="17700"/>
    <cellStyle name="Note 5 29 2" xfId="40475"/>
    <cellStyle name="Note 5 3" xfId="501"/>
    <cellStyle name="Note 5 3 10" xfId="6733"/>
    <cellStyle name="Note 5 3 10 2" xfId="29508"/>
    <cellStyle name="Note 5 3 11" xfId="7389"/>
    <cellStyle name="Note 5 3 11 2" xfId="30164"/>
    <cellStyle name="Note 5 3 12" xfId="8045"/>
    <cellStyle name="Note 5 3 12 2" xfId="30820"/>
    <cellStyle name="Note 5 3 13" xfId="8701"/>
    <cellStyle name="Note 5 3 13 2" xfId="31476"/>
    <cellStyle name="Note 5 3 14" xfId="9357"/>
    <cellStyle name="Note 5 3 14 2" xfId="32132"/>
    <cellStyle name="Note 5 3 15" xfId="10013"/>
    <cellStyle name="Note 5 3 15 2" xfId="32788"/>
    <cellStyle name="Note 5 3 16" xfId="10669"/>
    <cellStyle name="Note 5 3 16 2" xfId="33444"/>
    <cellStyle name="Note 5 3 17" xfId="11325"/>
    <cellStyle name="Note 5 3 17 2" xfId="34100"/>
    <cellStyle name="Note 5 3 18" xfId="11981"/>
    <cellStyle name="Note 5 3 18 2" xfId="34756"/>
    <cellStyle name="Note 5 3 19" xfId="12637"/>
    <cellStyle name="Note 5 3 19 2" xfId="35412"/>
    <cellStyle name="Note 5 3 2" xfId="829"/>
    <cellStyle name="Note 5 3 2 10" xfId="8373"/>
    <cellStyle name="Note 5 3 2 10 2" xfId="31148"/>
    <cellStyle name="Note 5 3 2 11" xfId="9029"/>
    <cellStyle name="Note 5 3 2 11 2" xfId="31804"/>
    <cellStyle name="Note 5 3 2 12" xfId="9685"/>
    <cellStyle name="Note 5 3 2 12 2" xfId="32460"/>
    <cellStyle name="Note 5 3 2 13" xfId="10341"/>
    <cellStyle name="Note 5 3 2 13 2" xfId="33116"/>
    <cellStyle name="Note 5 3 2 14" xfId="10997"/>
    <cellStyle name="Note 5 3 2 14 2" xfId="33772"/>
    <cellStyle name="Note 5 3 2 15" xfId="11653"/>
    <cellStyle name="Note 5 3 2 15 2" xfId="34428"/>
    <cellStyle name="Note 5 3 2 16" xfId="12309"/>
    <cellStyle name="Note 5 3 2 16 2" xfId="35084"/>
    <cellStyle name="Note 5 3 2 17" xfId="12965"/>
    <cellStyle name="Note 5 3 2 17 2" xfId="35740"/>
    <cellStyle name="Note 5 3 2 18" xfId="13621"/>
    <cellStyle name="Note 5 3 2 18 2" xfId="36396"/>
    <cellStyle name="Note 5 3 2 19" xfId="14277"/>
    <cellStyle name="Note 5 3 2 19 2" xfId="37052"/>
    <cellStyle name="Note 5 3 2 2" xfId="1485"/>
    <cellStyle name="Note 5 3 2 2 2" xfId="3781"/>
    <cellStyle name="Note 5 3 2 2 2 2" xfId="26556"/>
    <cellStyle name="Note 5 3 2 2 3" xfId="24260"/>
    <cellStyle name="Note 5 3 2 20" xfId="14933"/>
    <cellStyle name="Note 5 3 2 20 2" xfId="37708"/>
    <cellStyle name="Note 5 3 2 21" xfId="15589"/>
    <cellStyle name="Note 5 3 2 21 2" xfId="38364"/>
    <cellStyle name="Note 5 3 2 22" xfId="16245"/>
    <cellStyle name="Note 5 3 2 22 2" xfId="39020"/>
    <cellStyle name="Note 5 3 2 23" xfId="16901"/>
    <cellStyle name="Note 5 3 2 23 2" xfId="39676"/>
    <cellStyle name="Note 5 3 2 24" xfId="17557"/>
    <cellStyle name="Note 5 3 2 24 2" xfId="40332"/>
    <cellStyle name="Note 5 3 2 25" xfId="18213"/>
    <cellStyle name="Note 5 3 2 25 2" xfId="40988"/>
    <cellStyle name="Note 5 3 2 26" xfId="18869"/>
    <cellStyle name="Note 5 3 2 26 2" xfId="41644"/>
    <cellStyle name="Note 5 3 2 27" xfId="19525"/>
    <cellStyle name="Note 5 3 2 27 2" xfId="42300"/>
    <cellStyle name="Note 5 3 2 28" xfId="20181"/>
    <cellStyle name="Note 5 3 2 28 2" xfId="42956"/>
    <cellStyle name="Note 5 3 2 29" xfId="20837"/>
    <cellStyle name="Note 5 3 2 29 2" xfId="43612"/>
    <cellStyle name="Note 5 3 2 3" xfId="2141"/>
    <cellStyle name="Note 5 3 2 3 2" xfId="4437"/>
    <cellStyle name="Note 5 3 2 3 2 2" xfId="27212"/>
    <cellStyle name="Note 5 3 2 3 3" xfId="24916"/>
    <cellStyle name="Note 5 3 2 30" xfId="21493"/>
    <cellStyle name="Note 5 3 2 30 2" xfId="44268"/>
    <cellStyle name="Note 5 3 2 31" xfId="22149"/>
    <cellStyle name="Note 5 3 2 31 2" xfId="44924"/>
    <cellStyle name="Note 5 3 2 32" xfId="22805"/>
    <cellStyle name="Note 5 3 2 32 2" xfId="45580"/>
    <cellStyle name="Note 5 3 2 33" xfId="23604"/>
    <cellStyle name="Note 5 3 2 4" xfId="5093"/>
    <cellStyle name="Note 5 3 2 4 2" xfId="27868"/>
    <cellStyle name="Note 5 3 2 5" xfId="5749"/>
    <cellStyle name="Note 5 3 2 5 2" xfId="28524"/>
    <cellStyle name="Note 5 3 2 6" xfId="6405"/>
    <cellStyle name="Note 5 3 2 6 2" xfId="29180"/>
    <cellStyle name="Note 5 3 2 7" xfId="3125"/>
    <cellStyle name="Note 5 3 2 7 2" xfId="25900"/>
    <cellStyle name="Note 5 3 2 8" xfId="7061"/>
    <cellStyle name="Note 5 3 2 8 2" xfId="29836"/>
    <cellStyle name="Note 5 3 2 9" xfId="7717"/>
    <cellStyle name="Note 5 3 2 9 2" xfId="30492"/>
    <cellStyle name="Note 5 3 20" xfId="13293"/>
    <cellStyle name="Note 5 3 20 2" xfId="36068"/>
    <cellStyle name="Note 5 3 21" xfId="13949"/>
    <cellStyle name="Note 5 3 21 2" xfId="36724"/>
    <cellStyle name="Note 5 3 22" xfId="14605"/>
    <cellStyle name="Note 5 3 22 2" xfId="37380"/>
    <cellStyle name="Note 5 3 23" xfId="15261"/>
    <cellStyle name="Note 5 3 23 2" xfId="38036"/>
    <cellStyle name="Note 5 3 24" xfId="15917"/>
    <cellStyle name="Note 5 3 24 2" xfId="38692"/>
    <cellStyle name="Note 5 3 25" xfId="16573"/>
    <cellStyle name="Note 5 3 25 2" xfId="39348"/>
    <cellStyle name="Note 5 3 26" xfId="17229"/>
    <cellStyle name="Note 5 3 26 2" xfId="40004"/>
    <cellStyle name="Note 5 3 27" xfId="17885"/>
    <cellStyle name="Note 5 3 27 2" xfId="40660"/>
    <cellStyle name="Note 5 3 28" xfId="18541"/>
    <cellStyle name="Note 5 3 28 2" xfId="41316"/>
    <cellStyle name="Note 5 3 29" xfId="19197"/>
    <cellStyle name="Note 5 3 29 2" xfId="41972"/>
    <cellStyle name="Note 5 3 3" xfId="1157"/>
    <cellStyle name="Note 5 3 3 2" xfId="2797"/>
    <cellStyle name="Note 5 3 3 2 2" xfId="25572"/>
    <cellStyle name="Note 5 3 3 3" xfId="23932"/>
    <cellStyle name="Note 5 3 30" xfId="19853"/>
    <cellStyle name="Note 5 3 30 2" xfId="42628"/>
    <cellStyle name="Note 5 3 31" xfId="20509"/>
    <cellStyle name="Note 5 3 31 2" xfId="43284"/>
    <cellStyle name="Note 5 3 32" xfId="21165"/>
    <cellStyle name="Note 5 3 32 2" xfId="43940"/>
    <cellStyle name="Note 5 3 33" xfId="21821"/>
    <cellStyle name="Note 5 3 33 2" xfId="44596"/>
    <cellStyle name="Note 5 3 34" xfId="22477"/>
    <cellStyle name="Note 5 3 34 2" xfId="45252"/>
    <cellStyle name="Note 5 3 35" xfId="23276"/>
    <cellStyle name="Note 5 3 4" xfId="1813"/>
    <cellStyle name="Note 5 3 4 2" xfId="3453"/>
    <cellStyle name="Note 5 3 4 2 2" xfId="26228"/>
    <cellStyle name="Note 5 3 4 3" xfId="24588"/>
    <cellStyle name="Note 5 3 5" xfId="4109"/>
    <cellStyle name="Note 5 3 5 2" xfId="26884"/>
    <cellStyle name="Note 5 3 6" xfId="4765"/>
    <cellStyle name="Note 5 3 6 2" xfId="27540"/>
    <cellStyle name="Note 5 3 7" xfId="5421"/>
    <cellStyle name="Note 5 3 7 2" xfId="28196"/>
    <cellStyle name="Note 5 3 8" xfId="6077"/>
    <cellStyle name="Note 5 3 8 2" xfId="28852"/>
    <cellStyle name="Note 5 3 9" xfId="2469"/>
    <cellStyle name="Note 5 3 9 2" xfId="25244"/>
    <cellStyle name="Note 5 30" xfId="18356"/>
    <cellStyle name="Note 5 30 2" xfId="41131"/>
    <cellStyle name="Note 5 31" xfId="19012"/>
    <cellStyle name="Note 5 31 2" xfId="41787"/>
    <cellStyle name="Note 5 32" xfId="19668"/>
    <cellStyle name="Note 5 32 2" xfId="42443"/>
    <cellStyle name="Note 5 33" xfId="20324"/>
    <cellStyle name="Note 5 33 2" xfId="43099"/>
    <cellStyle name="Note 5 34" xfId="20980"/>
    <cellStyle name="Note 5 34 2" xfId="43755"/>
    <cellStyle name="Note 5 35" xfId="21636"/>
    <cellStyle name="Note 5 35 2" xfId="44411"/>
    <cellStyle name="Note 5 36" xfId="22292"/>
    <cellStyle name="Note 5 36 2" xfId="45067"/>
    <cellStyle name="Note 5 37" xfId="231"/>
    <cellStyle name="Note 5 38" xfId="22948"/>
    <cellStyle name="Note 5 4" xfId="644"/>
    <cellStyle name="Note 5 4 10" xfId="8188"/>
    <cellStyle name="Note 5 4 10 2" xfId="30963"/>
    <cellStyle name="Note 5 4 11" xfId="8844"/>
    <cellStyle name="Note 5 4 11 2" xfId="31619"/>
    <cellStyle name="Note 5 4 12" xfId="9500"/>
    <cellStyle name="Note 5 4 12 2" xfId="32275"/>
    <cellStyle name="Note 5 4 13" xfId="10156"/>
    <cellStyle name="Note 5 4 13 2" xfId="32931"/>
    <cellStyle name="Note 5 4 14" xfId="10812"/>
    <cellStyle name="Note 5 4 14 2" xfId="33587"/>
    <cellStyle name="Note 5 4 15" xfId="11468"/>
    <cellStyle name="Note 5 4 15 2" xfId="34243"/>
    <cellStyle name="Note 5 4 16" xfId="12124"/>
    <cellStyle name="Note 5 4 16 2" xfId="34899"/>
    <cellStyle name="Note 5 4 17" xfId="12780"/>
    <cellStyle name="Note 5 4 17 2" xfId="35555"/>
    <cellStyle name="Note 5 4 18" xfId="13436"/>
    <cellStyle name="Note 5 4 18 2" xfId="36211"/>
    <cellStyle name="Note 5 4 19" xfId="14092"/>
    <cellStyle name="Note 5 4 19 2" xfId="36867"/>
    <cellStyle name="Note 5 4 2" xfId="1300"/>
    <cellStyle name="Note 5 4 2 2" xfId="3596"/>
    <cellStyle name="Note 5 4 2 2 2" xfId="26371"/>
    <cellStyle name="Note 5 4 2 3" xfId="24075"/>
    <cellStyle name="Note 5 4 20" xfId="14748"/>
    <cellStyle name="Note 5 4 20 2" xfId="37523"/>
    <cellStyle name="Note 5 4 21" xfId="15404"/>
    <cellStyle name="Note 5 4 21 2" xfId="38179"/>
    <cellStyle name="Note 5 4 22" xfId="16060"/>
    <cellStyle name="Note 5 4 22 2" xfId="38835"/>
    <cellStyle name="Note 5 4 23" xfId="16716"/>
    <cellStyle name="Note 5 4 23 2" xfId="39491"/>
    <cellStyle name="Note 5 4 24" xfId="17372"/>
    <cellStyle name="Note 5 4 24 2" xfId="40147"/>
    <cellStyle name="Note 5 4 25" xfId="18028"/>
    <cellStyle name="Note 5 4 25 2" xfId="40803"/>
    <cellStyle name="Note 5 4 26" xfId="18684"/>
    <cellStyle name="Note 5 4 26 2" xfId="41459"/>
    <cellStyle name="Note 5 4 27" xfId="19340"/>
    <cellStyle name="Note 5 4 27 2" xfId="42115"/>
    <cellStyle name="Note 5 4 28" xfId="19996"/>
    <cellStyle name="Note 5 4 28 2" xfId="42771"/>
    <cellStyle name="Note 5 4 29" xfId="20652"/>
    <cellStyle name="Note 5 4 29 2" xfId="43427"/>
    <cellStyle name="Note 5 4 3" xfId="1956"/>
    <cellStyle name="Note 5 4 3 2" xfId="4252"/>
    <cellStyle name="Note 5 4 3 2 2" xfId="27027"/>
    <cellStyle name="Note 5 4 3 3" xfId="24731"/>
    <cellStyle name="Note 5 4 30" xfId="21308"/>
    <cellStyle name="Note 5 4 30 2" xfId="44083"/>
    <cellStyle name="Note 5 4 31" xfId="21964"/>
    <cellStyle name="Note 5 4 31 2" xfId="44739"/>
    <cellStyle name="Note 5 4 32" xfId="22620"/>
    <cellStyle name="Note 5 4 32 2" xfId="45395"/>
    <cellStyle name="Note 5 4 33" xfId="23419"/>
    <cellStyle name="Note 5 4 4" xfId="4908"/>
    <cellStyle name="Note 5 4 4 2" xfId="27683"/>
    <cellStyle name="Note 5 4 5" xfId="5564"/>
    <cellStyle name="Note 5 4 5 2" xfId="28339"/>
    <cellStyle name="Note 5 4 6" xfId="6220"/>
    <cellStyle name="Note 5 4 6 2" xfId="28995"/>
    <cellStyle name="Note 5 4 7" xfId="2940"/>
    <cellStyle name="Note 5 4 7 2" xfId="25715"/>
    <cellStyle name="Note 5 4 8" xfId="6876"/>
    <cellStyle name="Note 5 4 8 2" xfId="29651"/>
    <cellStyle name="Note 5 4 9" xfId="7532"/>
    <cellStyle name="Note 5 4 9 2" xfId="30307"/>
    <cellStyle name="Note 5 5" xfId="317"/>
    <cellStyle name="Note 5 5 2" xfId="2612"/>
    <cellStyle name="Note 5 5 2 2" xfId="25387"/>
    <cellStyle name="Note 5 5 3" xfId="23091"/>
    <cellStyle name="Note 5 6" xfId="972"/>
    <cellStyle name="Note 5 6 2" xfId="3268"/>
    <cellStyle name="Note 5 6 2 2" xfId="26043"/>
    <cellStyle name="Note 5 6 3" xfId="23747"/>
    <cellStyle name="Note 5 7" xfId="1628"/>
    <cellStyle name="Note 5 7 2" xfId="3924"/>
    <cellStyle name="Note 5 7 2 2" xfId="26699"/>
    <cellStyle name="Note 5 7 3" xfId="24403"/>
    <cellStyle name="Note 5 8" xfId="4580"/>
    <cellStyle name="Note 5 8 2" xfId="27355"/>
    <cellStyle name="Note 5 9" xfId="5236"/>
    <cellStyle name="Note 5 9 2" xfId="28011"/>
    <cellStyle name="Note 6" xfId="100"/>
    <cellStyle name="Note 6 10" xfId="2298"/>
    <cellStyle name="Note 6 10 2" xfId="25073"/>
    <cellStyle name="Note 6 11" xfId="6562"/>
    <cellStyle name="Note 6 11 2" xfId="29337"/>
    <cellStyle name="Note 6 12" xfId="7218"/>
    <cellStyle name="Note 6 12 2" xfId="29993"/>
    <cellStyle name="Note 6 13" xfId="7874"/>
    <cellStyle name="Note 6 13 2" xfId="30649"/>
    <cellStyle name="Note 6 14" xfId="8530"/>
    <cellStyle name="Note 6 14 2" xfId="31305"/>
    <cellStyle name="Note 6 15" xfId="9186"/>
    <cellStyle name="Note 6 15 2" xfId="31961"/>
    <cellStyle name="Note 6 16" xfId="9842"/>
    <cellStyle name="Note 6 16 2" xfId="32617"/>
    <cellStyle name="Note 6 17" xfId="10498"/>
    <cellStyle name="Note 6 17 2" xfId="33273"/>
    <cellStyle name="Note 6 18" xfId="11154"/>
    <cellStyle name="Note 6 18 2" xfId="33929"/>
    <cellStyle name="Note 6 19" xfId="11810"/>
    <cellStyle name="Note 6 19 2" xfId="34585"/>
    <cellStyle name="Note 6 2" xfId="515"/>
    <cellStyle name="Note 6 2 10" xfId="6747"/>
    <cellStyle name="Note 6 2 10 2" xfId="29522"/>
    <cellStyle name="Note 6 2 11" xfId="7403"/>
    <cellStyle name="Note 6 2 11 2" xfId="30178"/>
    <cellStyle name="Note 6 2 12" xfId="8059"/>
    <cellStyle name="Note 6 2 12 2" xfId="30834"/>
    <cellStyle name="Note 6 2 13" xfId="8715"/>
    <cellStyle name="Note 6 2 13 2" xfId="31490"/>
    <cellStyle name="Note 6 2 14" xfId="9371"/>
    <cellStyle name="Note 6 2 14 2" xfId="32146"/>
    <cellStyle name="Note 6 2 15" xfId="10027"/>
    <cellStyle name="Note 6 2 15 2" xfId="32802"/>
    <cellStyle name="Note 6 2 16" xfId="10683"/>
    <cellStyle name="Note 6 2 16 2" xfId="33458"/>
    <cellStyle name="Note 6 2 17" xfId="11339"/>
    <cellStyle name="Note 6 2 17 2" xfId="34114"/>
    <cellStyle name="Note 6 2 18" xfId="11995"/>
    <cellStyle name="Note 6 2 18 2" xfId="34770"/>
    <cellStyle name="Note 6 2 19" xfId="12651"/>
    <cellStyle name="Note 6 2 19 2" xfId="35426"/>
    <cellStyle name="Note 6 2 2" xfId="843"/>
    <cellStyle name="Note 6 2 2 10" xfId="8387"/>
    <cellStyle name="Note 6 2 2 10 2" xfId="31162"/>
    <cellStyle name="Note 6 2 2 11" xfId="9043"/>
    <cellStyle name="Note 6 2 2 11 2" xfId="31818"/>
    <cellStyle name="Note 6 2 2 12" xfId="9699"/>
    <cellStyle name="Note 6 2 2 12 2" xfId="32474"/>
    <cellStyle name="Note 6 2 2 13" xfId="10355"/>
    <cellStyle name="Note 6 2 2 13 2" xfId="33130"/>
    <cellStyle name="Note 6 2 2 14" xfId="11011"/>
    <cellStyle name="Note 6 2 2 14 2" xfId="33786"/>
    <cellStyle name="Note 6 2 2 15" xfId="11667"/>
    <cellStyle name="Note 6 2 2 15 2" xfId="34442"/>
    <cellStyle name="Note 6 2 2 16" xfId="12323"/>
    <cellStyle name="Note 6 2 2 16 2" xfId="35098"/>
    <cellStyle name="Note 6 2 2 17" xfId="12979"/>
    <cellStyle name="Note 6 2 2 17 2" xfId="35754"/>
    <cellStyle name="Note 6 2 2 18" xfId="13635"/>
    <cellStyle name="Note 6 2 2 18 2" xfId="36410"/>
    <cellStyle name="Note 6 2 2 19" xfId="14291"/>
    <cellStyle name="Note 6 2 2 19 2" xfId="37066"/>
    <cellStyle name="Note 6 2 2 2" xfId="1499"/>
    <cellStyle name="Note 6 2 2 2 2" xfId="3795"/>
    <cellStyle name="Note 6 2 2 2 2 2" xfId="26570"/>
    <cellStyle name="Note 6 2 2 2 3" xfId="24274"/>
    <cellStyle name="Note 6 2 2 20" xfId="14947"/>
    <cellStyle name="Note 6 2 2 20 2" xfId="37722"/>
    <cellStyle name="Note 6 2 2 21" xfId="15603"/>
    <cellStyle name="Note 6 2 2 21 2" xfId="38378"/>
    <cellStyle name="Note 6 2 2 22" xfId="16259"/>
    <cellStyle name="Note 6 2 2 22 2" xfId="39034"/>
    <cellStyle name="Note 6 2 2 23" xfId="16915"/>
    <cellStyle name="Note 6 2 2 23 2" xfId="39690"/>
    <cellStyle name="Note 6 2 2 24" xfId="17571"/>
    <cellStyle name="Note 6 2 2 24 2" xfId="40346"/>
    <cellStyle name="Note 6 2 2 25" xfId="18227"/>
    <cellStyle name="Note 6 2 2 25 2" xfId="41002"/>
    <cellStyle name="Note 6 2 2 26" xfId="18883"/>
    <cellStyle name="Note 6 2 2 26 2" xfId="41658"/>
    <cellStyle name="Note 6 2 2 27" xfId="19539"/>
    <cellStyle name="Note 6 2 2 27 2" xfId="42314"/>
    <cellStyle name="Note 6 2 2 28" xfId="20195"/>
    <cellStyle name="Note 6 2 2 28 2" xfId="42970"/>
    <cellStyle name="Note 6 2 2 29" xfId="20851"/>
    <cellStyle name="Note 6 2 2 29 2" xfId="43626"/>
    <cellStyle name="Note 6 2 2 3" xfId="2155"/>
    <cellStyle name="Note 6 2 2 3 2" xfId="4451"/>
    <cellStyle name="Note 6 2 2 3 2 2" xfId="27226"/>
    <cellStyle name="Note 6 2 2 3 3" xfId="24930"/>
    <cellStyle name="Note 6 2 2 30" xfId="21507"/>
    <cellStyle name="Note 6 2 2 30 2" xfId="44282"/>
    <cellStyle name="Note 6 2 2 31" xfId="22163"/>
    <cellStyle name="Note 6 2 2 31 2" xfId="44938"/>
    <cellStyle name="Note 6 2 2 32" xfId="22819"/>
    <cellStyle name="Note 6 2 2 32 2" xfId="45594"/>
    <cellStyle name="Note 6 2 2 33" xfId="23618"/>
    <cellStyle name="Note 6 2 2 4" xfId="5107"/>
    <cellStyle name="Note 6 2 2 4 2" xfId="27882"/>
    <cellStyle name="Note 6 2 2 5" xfId="5763"/>
    <cellStyle name="Note 6 2 2 5 2" xfId="28538"/>
    <cellStyle name="Note 6 2 2 6" xfId="6419"/>
    <cellStyle name="Note 6 2 2 6 2" xfId="29194"/>
    <cellStyle name="Note 6 2 2 7" xfId="3139"/>
    <cellStyle name="Note 6 2 2 7 2" xfId="25914"/>
    <cellStyle name="Note 6 2 2 8" xfId="7075"/>
    <cellStyle name="Note 6 2 2 8 2" xfId="29850"/>
    <cellStyle name="Note 6 2 2 9" xfId="7731"/>
    <cellStyle name="Note 6 2 2 9 2" xfId="30506"/>
    <cellStyle name="Note 6 2 20" xfId="13307"/>
    <cellStyle name="Note 6 2 20 2" xfId="36082"/>
    <cellStyle name="Note 6 2 21" xfId="13963"/>
    <cellStyle name="Note 6 2 21 2" xfId="36738"/>
    <cellStyle name="Note 6 2 22" xfId="14619"/>
    <cellStyle name="Note 6 2 22 2" xfId="37394"/>
    <cellStyle name="Note 6 2 23" xfId="15275"/>
    <cellStyle name="Note 6 2 23 2" xfId="38050"/>
    <cellStyle name="Note 6 2 24" xfId="15931"/>
    <cellStyle name="Note 6 2 24 2" xfId="38706"/>
    <cellStyle name="Note 6 2 25" xfId="16587"/>
    <cellStyle name="Note 6 2 25 2" xfId="39362"/>
    <cellStyle name="Note 6 2 26" xfId="17243"/>
    <cellStyle name="Note 6 2 26 2" xfId="40018"/>
    <cellStyle name="Note 6 2 27" xfId="17899"/>
    <cellStyle name="Note 6 2 27 2" xfId="40674"/>
    <cellStyle name="Note 6 2 28" xfId="18555"/>
    <cellStyle name="Note 6 2 28 2" xfId="41330"/>
    <cellStyle name="Note 6 2 29" xfId="19211"/>
    <cellStyle name="Note 6 2 29 2" xfId="41986"/>
    <cellStyle name="Note 6 2 3" xfId="1171"/>
    <cellStyle name="Note 6 2 3 2" xfId="2811"/>
    <cellStyle name="Note 6 2 3 2 2" xfId="25586"/>
    <cellStyle name="Note 6 2 3 3" xfId="23946"/>
    <cellStyle name="Note 6 2 30" xfId="19867"/>
    <cellStyle name="Note 6 2 30 2" xfId="42642"/>
    <cellStyle name="Note 6 2 31" xfId="20523"/>
    <cellStyle name="Note 6 2 31 2" xfId="43298"/>
    <cellStyle name="Note 6 2 32" xfId="21179"/>
    <cellStyle name="Note 6 2 32 2" xfId="43954"/>
    <cellStyle name="Note 6 2 33" xfId="21835"/>
    <cellStyle name="Note 6 2 33 2" xfId="44610"/>
    <cellStyle name="Note 6 2 34" xfId="22491"/>
    <cellStyle name="Note 6 2 34 2" xfId="45266"/>
    <cellStyle name="Note 6 2 35" xfId="23290"/>
    <cellStyle name="Note 6 2 4" xfId="1827"/>
    <cellStyle name="Note 6 2 4 2" xfId="3467"/>
    <cellStyle name="Note 6 2 4 2 2" xfId="26242"/>
    <cellStyle name="Note 6 2 4 3" xfId="24602"/>
    <cellStyle name="Note 6 2 5" xfId="4123"/>
    <cellStyle name="Note 6 2 5 2" xfId="26898"/>
    <cellStyle name="Note 6 2 6" xfId="4779"/>
    <cellStyle name="Note 6 2 6 2" xfId="27554"/>
    <cellStyle name="Note 6 2 7" xfId="5435"/>
    <cellStyle name="Note 6 2 7 2" xfId="28210"/>
    <cellStyle name="Note 6 2 8" xfId="6091"/>
    <cellStyle name="Note 6 2 8 2" xfId="28866"/>
    <cellStyle name="Note 6 2 9" xfId="2483"/>
    <cellStyle name="Note 6 2 9 2" xfId="25258"/>
    <cellStyle name="Note 6 20" xfId="12466"/>
    <cellStyle name="Note 6 20 2" xfId="35241"/>
    <cellStyle name="Note 6 21" xfId="13122"/>
    <cellStyle name="Note 6 21 2" xfId="35897"/>
    <cellStyle name="Note 6 22" xfId="13778"/>
    <cellStyle name="Note 6 22 2" xfId="36553"/>
    <cellStyle name="Note 6 23" xfId="14434"/>
    <cellStyle name="Note 6 23 2" xfId="37209"/>
    <cellStyle name="Note 6 24" xfId="15090"/>
    <cellStyle name="Note 6 24 2" xfId="37865"/>
    <cellStyle name="Note 6 25" xfId="15746"/>
    <cellStyle name="Note 6 25 2" xfId="38521"/>
    <cellStyle name="Note 6 26" xfId="16402"/>
    <cellStyle name="Note 6 26 2" xfId="39177"/>
    <cellStyle name="Note 6 27" xfId="17058"/>
    <cellStyle name="Note 6 27 2" xfId="39833"/>
    <cellStyle name="Note 6 28" xfId="17714"/>
    <cellStyle name="Note 6 28 2" xfId="40489"/>
    <cellStyle name="Note 6 29" xfId="18370"/>
    <cellStyle name="Note 6 29 2" xfId="41145"/>
    <cellStyle name="Note 6 3" xfId="658"/>
    <cellStyle name="Note 6 3 10" xfId="8202"/>
    <cellStyle name="Note 6 3 10 2" xfId="30977"/>
    <cellStyle name="Note 6 3 11" xfId="8858"/>
    <cellStyle name="Note 6 3 11 2" xfId="31633"/>
    <cellStyle name="Note 6 3 12" xfId="9514"/>
    <cellStyle name="Note 6 3 12 2" xfId="32289"/>
    <cellStyle name="Note 6 3 13" xfId="10170"/>
    <cellStyle name="Note 6 3 13 2" xfId="32945"/>
    <cellStyle name="Note 6 3 14" xfId="10826"/>
    <cellStyle name="Note 6 3 14 2" xfId="33601"/>
    <cellStyle name="Note 6 3 15" xfId="11482"/>
    <cellStyle name="Note 6 3 15 2" xfId="34257"/>
    <cellStyle name="Note 6 3 16" xfId="12138"/>
    <cellStyle name="Note 6 3 16 2" xfId="34913"/>
    <cellStyle name="Note 6 3 17" xfId="12794"/>
    <cellStyle name="Note 6 3 17 2" xfId="35569"/>
    <cellStyle name="Note 6 3 18" xfId="13450"/>
    <cellStyle name="Note 6 3 18 2" xfId="36225"/>
    <cellStyle name="Note 6 3 19" xfId="14106"/>
    <cellStyle name="Note 6 3 19 2" xfId="36881"/>
    <cellStyle name="Note 6 3 2" xfId="1314"/>
    <cellStyle name="Note 6 3 2 2" xfId="3610"/>
    <cellStyle name="Note 6 3 2 2 2" xfId="26385"/>
    <cellStyle name="Note 6 3 2 3" xfId="24089"/>
    <cellStyle name="Note 6 3 20" xfId="14762"/>
    <cellStyle name="Note 6 3 20 2" xfId="37537"/>
    <cellStyle name="Note 6 3 21" xfId="15418"/>
    <cellStyle name="Note 6 3 21 2" xfId="38193"/>
    <cellStyle name="Note 6 3 22" xfId="16074"/>
    <cellStyle name="Note 6 3 22 2" xfId="38849"/>
    <cellStyle name="Note 6 3 23" xfId="16730"/>
    <cellStyle name="Note 6 3 23 2" xfId="39505"/>
    <cellStyle name="Note 6 3 24" xfId="17386"/>
    <cellStyle name="Note 6 3 24 2" xfId="40161"/>
    <cellStyle name="Note 6 3 25" xfId="18042"/>
    <cellStyle name="Note 6 3 25 2" xfId="40817"/>
    <cellStyle name="Note 6 3 26" xfId="18698"/>
    <cellStyle name="Note 6 3 26 2" xfId="41473"/>
    <cellStyle name="Note 6 3 27" xfId="19354"/>
    <cellStyle name="Note 6 3 27 2" xfId="42129"/>
    <cellStyle name="Note 6 3 28" xfId="20010"/>
    <cellStyle name="Note 6 3 28 2" xfId="42785"/>
    <cellStyle name="Note 6 3 29" xfId="20666"/>
    <cellStyle name="Note 6 3 29 2" xfId="43441"/>
    <cellStyle name="Note 6 3 3" xfId="1970"/>
    <cellStyle name="Note 6 3 3 2" xfId="4266"/>
    <cellStyle name="Note 6 3 3 2 2" xfId="27041"/>
    <cellStyle name="Note 6 3 3 3" xfId="24745"/>
    <cellStyle name="Note 6 3 30" xfId="21322"/>
    <cellStyle name="Note 6 3 30 2" xfId="44097"/>
    <cellStyle name="Note 6 3 31" xfId="21978"/>
    <cellStyle name="Note 6 3 31 2" xfId="44753"/>
    <cellStyle name="Note 6 3 32" xfId="22634"/>
    <cellStyle name="Note 6 3 32 2" xfId="45409"/>
    <cellStyle name="Note 6 3 33" xfId="23433"/>
    <cellStyle name="Note 6 3 4" xfId="4922"/>
    <cellStyle name="Note 6 3 4 2" xfId="27697"/>
    <cellStyle name="Note 6 3 5" xfId="5578"/>
    <cellStyle name="Note 6 3 5 2" xfId="28353"/>
    <cellStyle name="Note 6 3 6" xfId="6234"/>
    <cellStyle name="Note 6 3 6 2" xfId="29009"/>
    <cellStyle name="Note 6 3 7" xfId="2954"/>
    <cellStyle name="Note 6 3 7 2" xfId="25729"/>
    <cellStyle name="Note 6 3 8" xfId="6890"/>
    <cellStyle name="Note 6 3 8 2" xfId="29665"/>
    <cellStyle name="Note 6 3 9" xfId="7546"/>
    <cellStyle name="Note 6 3 9 2" xfId="30321"/>
    <cellStyle name="Note 6 30" xfId="19026"/>
    <cellStyle name="Note 6 30 2" xfId="41801"/>
    <cellStyle name="Note 6 31" xfId="19682"/>
    <cellStyle name="Note 6 31 2" xfId="42457"/>
    <cellStyle name="Note 6 32" xfId="20338"/>
    <cellStyle name="Note 6 32 2" xfId="43113"/>
    <cellStyle name="Note 6 33" xfId="20994"/>
    <cellStyle name="Note 6 33 2" xfId="43769"/>
    <cellStyle name="Note 6 34" xfId="21650"/>
    <cellStyle name="Note 6 34 2" xfId="44425"/>
    <cellStyle name="Note 6 35" xfId="22306"/>
    <cellStyle name="Note 6 35 2" xfId="45081"/>
    <cellStyle name="Note 6 36" xfId="245"/>
    <cellStyle name="Note 6 37" xfId="22962"/>
    <cellStyle name="Note 6 4" xfId="331"/>
    <cellStyle name="Note 6 4 2" xfId="2626"/>
    <cellStyle name="Note 6 4 2 2" xfId="25401"/>
    <cellStyle name="Note 6 4 3" xfId="23105"/>
    <cellStyle name="Note 6 5" xfId="986"/>
    <cellStyle name="Note 6 5 2" xfId="3282"/>
    <cellStyle name="Note 6 5 2 2" xfId="26057"/>
    <cellStyle name="Note 6 5 3" xfId="23761"/>
    <cellStyle name="Note 6 6" xfId="1642"/>
    <cellStyle name="Note 6 6 2" xfId="3938"/>
    <cellStyle name="Note 6 6 2 2" xfId="26713"/>
    <cellStyle name="Note 6 6 3" xfId="24417"/>
    <cellStyle name="Note 6 7" xfId="4594"/>
    <cellStyle name="Note 6 7 2" xfId="27369"/>
    <cellStyle name="Note 6 8" xfId="5250"/>
    <cellStyle name="Note 6 8 2" xfId="28025"/>
    <cellStyle name="Note 6 9" xfId="5906"/>
    <cellStyle name="Note 6 9 2" xfId="28681"/>
    <cellStyle name="Note 7" xfId="417"/>
    <cellStyle name="Note 7 10" xfId="6648"/>
    <cellStyle name="Note 7 10 2" xfId="29423"/>
    <cellStyle name="Note 7 11" xfId="7304"/>
    <cellStyle name="Note 7 11 2" xfId="30079"/>
    <cellStyle name="Note 7 12" xfId="7960"/>
    <cellStyle name="Note 7 12 2" xfId="30735"/>
    <cellStyle name="Note 7 13" xfId="8616"/>
    <cellStyle name="Note 7 13 2" xfId="31391"/>
    <cellStyle name="Note 7 14" xfId="9272"/>
    <cellStyle name="Note 7 14 2" xfId="32047"/>
    <cellStyle name="Note 7 15" xfId="9928"/>
    <cellStyle name="Note 7 15 2" xfId="32703"/>
    <cellStyle name="Note 7 16" xfId="10584"/>
    <cellStyle name="Note 7 16 2" xfId="33359"/>
    <cellStyle name="Note 7 17" xfId="11240"/>
    <cellStyle name="Note 7 17 2" xfId="34015"/>
    <cellStyle name="Note 7 18" xfId="11896"/>
    <cellStyle name="Note 7 18 2" xfId="34671"/>
    <cellStyle name="Note 7 19" xfId="12552"/>
    <cellStyle name="Note 7 19 2" xfId="35327"/>
    <cellStyle name="Note 7 2" xfId="744"/>
    <cellStyle name="Note 7 2 10" xfId="8288"/>
    <cellStyle name="Note 7 2 10 2" xfId="31063"/>
    <cellStyle name="Note 7 2 11" xfId="8944"/>
    <cellStyle name="Note 7 2 11 2" xfId="31719"/>
    <cellStyle name="Note 7 2 12" xfId="9600"/>
    <cellStyle name="Note 7 2 12 2" xfId="32375"/>
    <cellStyle name="Note 7 2 13" xfId="10256"/>
    <cellStyle name="Note 7 2 13 2" xfId="33031"/>
    <cellStyle name="Note 7 2 14" xfId="10912"/>
    <cellStyle name="Note 7 2 14 2" xfId="33687"/>
    <cellStyle name="Note 7 2 15" xfId="11568"/>
    <cellStyle name="Note 7 2 15 2" xfId="34343"/>
    <cellStyle name="Note 7 2 16" xfId="12224"/>
    <cellStyle name="Note 7 2 16 2" xfId="34999"/>
    <cellStyle name="Note 7 2 17" xfId="12880"/>
    <cellStyle name="Note 7 2 17 2" xfId="35655"/>
    <cellStyle name="Note 7 2 18" xfId="13536"/>
    <cellStyle name="Note 7 2 18 2" xfId="36311"/>
    <cellStyle name="Note 7 2 19" xfId="14192"/>
    <cellStyle name="Note 7 2 19 2" xfId="36967"/>
    <cellStyle name="Note 7 2 2" xfId="1400"/>
    <cellStyle name="Note 7 2 2 2" xfId="3696"/>
    <cellStyle name="Note 7 2 2 2 2" xfId="26471"/>
    <cellStyle name="Note 7 2 2 3" xfId="24175"/>
    <cellStyle name="Note 7 2 20" xfId="14848"/>
    <cellStyle name="Note 7 2 20 2" xfId="37623"/>
    <cellStyle name="Note 7 2 21" xfId="15504"/>
    <cellStyle name="Note 7 2 21 2" xfId="38279"/>
    <cellStyle name="Note 7 2 22" xfId="16160"/>
    <cellStyle name="Note 7 2 22 2" xfId="38935"/>
    <cellStyle name="Note 7 2 23" xfId="16816"/>
    <cellStyle name="Note 7 2 23 2" xfId="39591"/>
    <cellStyle name="Note 7 2 24" xfId="17472"/>
    <cellStyle name="Note 7 2 24 2" xfId="40247"/>
    <cellStyle name="Note 7 2 25" xfId="18128"/>
    <cellStyle name="Note 7 2 25 2" xfId="40903"/>
    <cellStyle name="Note 7 2 26" xfId="18784"/>
    <cellStyle name="Note 7 2 26 2" xfId="41559"/>
    <cellStyle name="Note 7 2 27" xfId="19440"/>
    <cellStyle name="Note 7 2 27 2" xfId="42215"/>
    <cellStyle name="Note 7 2 28" xfId="20096"/>
    <cellStyle name="Note 7 2 28 2" xfId="42871"/>
    <cellStyle name="Note 7 2 29" xfId="20752"/>
    <cellStyle name="Note 7 2 29 2" xfId="43527"/>
    <cellStyle name="Note 7 2 3" xfId="2056"/>
    <cellStyle name="Note 7 2 3 2" xfId="4352"/>
    <cellStyle name="Note 7 2 3 2 2" xfId="27127"/>
    <cellStyle name="Note 7 2 3 3" xfId="24831"/>
    <cellStyle name="Note 7 2 30" xfId="21408"/>
    <cellStyle name="Note 7 2 30 2" xfId="44183"/>
    <cellStyle name="Note 7 2 31" xfId="22064"/>
    <cellStyle name="Note 7 2 31 2" xfId="44839"/>
    <cellStyle name="Note 7 2 32" xfId="22720"/>
    <cellStyle name="Note 7 2 32 2" xfId="45495"/>
    <cellStyle name="Note 7 2 33" xfId="23519"/>
    <cellStyle name="Note 7 2 4" xfId="5008"/>
    <cellStyle name="Note 7 2 4 2" xfId="27783"/>
    <cellStyle name="Note 7 2 5" xfId="5664"/>
    <cellStyle name="Note 7 2 5 2" xfId="28439"/>
    <cellStyle name="Note 7 2 6" xfId="6320"/>
    <cellStyle name="Note 7 2 6 2" xfId="29095"/>
    <cellStyle name="Note 7 2 7" xfId="3040"/>
    <cellStyle name="Note 7 2 7 2" xfId="25815"/>
    <cellStyle name="Note 7 2 8" xfId="6976"/>
    <cellStyle name="Note 7 2 8 2" xfId="29751"/>
    <cellStyle name="Note 7 2 9" xfId="7632"/>
    <cellStyle name="Note 7 2 9 2" xfId="30407"/>
    <cellStyle name="Note 7 20" xfId="13208"/>
    <cellStyle name="Note 7 20 2" xfId="35983"/>
    <cellStyle name="Note 7 21" xfId="13864"/>
    <cellStyle name="Note 7 21 2" xfId="36639"/>
    <cellStyle name="Note 7 22" xfId="14520"/>
    <cellStyle name="Note 7 22 2" xfId="37295"/>
    <cellStyle name="Note 7 23" xfId="15176"/>
    <cellStyle name="Note 7 23 2" xfId="37951"/>
    <cellStyle name="Note 7 24" xfId="15832"/>
    <cellStyle name="Note 7 24 2" xfId="38607"/>
    <cellStyle name="Note 7 25" xfId="16488"/>
    <cellStyle name="Note 7 25 2" xfId="39263"/>
    <cellStyle name="Note 7 26" xfId="17144"/>
    <cellStyle name="Note 7 26 2" xfId="39919"/>
    <cellStyle name="Note 7 27" xfId="17800"/>
    <cellStyle name="Note 7 27 2" xfId="40575"/>
    <cellStyle name="Note 7 28" xfId="18456"/>
    <cellStyle name="Note 7 28 2" xfId="41231"/>
    <cellStyle name="Note 7 29" xfId="19112"/>
    <cellStyle name="Note 7 29 2" xfId="41887"/>
    <cellStyle name="Note 7 3" xfId="1072"/>
    <cellStyle name="Note 7 3 2" xfId="2712"/>
    <cellStyle name="Note 7 3 2 2" xfId="25487"/>
    <cellStyle name="Note 7 3 3" xfId="23847"/>
    <cellStyle name="Note 7 30" xfId="19768"/>
    <cellStyle name="Note 7 30 2" xfId="42543"/>
    <cellStyle name="Note 7 31" xfId="20424"/>
    <cellStyle name="Note 7 31 2" xfId="43199"/>
    <cellStyle name="Note 7 32" xfId="21080"/>
    <cellStyle name="Note 7 32 2" xfId="43855"/>
    <cellStyle name="Note 7 33" xfId="21736"/>
    <cellStyle name="Note 7 33 2" xfId="44511"/>
    <cellStyle name="Note 7 34" xfId="22392"/>
    <cellStyle name="Note 7 34 2" xfId="45167"/>
    <cellStyle name="Note 7 35" xfId="23191"/>
    <cellStyle name="Note 7 4" xfId="1728"/>
    <cellStyle name="Note 7 4 2" xfId="3368"/>
    <cellStyle name="Note 7 4 2 2" xfId="26143"/>
    <cellStyle name="Note 7 4 3" xfId="24503"/>
    <cellStyle name="Note 7 5" xfId="4024"/>
    <cellStyle name="Note 7 5 2" xfId="26799"/>
    <cellStyle name="Note 7 6" xfId="4680"/>
    <cellStyle name="Note 7 6 2" xfId="27455"/>
    <cellStyle name="Note 7 7" xfId="5336"/>
    <cellStyle name="Note 7 7 2" xfId="28111"/>
    <cellStyle name="Note 7 8" xfId="5992"/>
    <cellStyle name="Note 7 8 2" xfId="28767"/>
    <cellStyle name="Note 7 9" xfId="2384"/>
    <cellStyle name="Note 7 9 2" xfId="25159"/>
    <cellStyle name="Note 8" xfId="431"/>
    <cellStyle name="Note 8 10" xfId="6662"/>
    <cellStyle name="Note 8 10 2" xfId="29437"/>
    <cellStyle name="Note 8 11" xfId="7318"/>
    <cellStyle name="Note 8 11 2" xfId="30093"/>
    <cellStyle name="Note 8 12" xfId="7974"/>
    <cellStyle name="Note 8 12 2" xfId="30749"/>
    <cellStyle name="Note 8 13" xfId="8630"/>
    <cellStyle name="Note 8 13 2" xfId="31405"/>
    <cellStyle name="Note 8 14" xfId="9286"/>
    <cellStyle name="Note 8 14 2" xfId="32061"/>
    <cellStyle name="Note 8 15" xfId="9942"/>
    <cellStyle name="Note 8 15 2" xfId="32717"/>
    <cellStyle name="Note 8 16" xfId="10598"/>
    <cellStyle name="Note 8 16 2" xfId="33373"/>
    <cellStyle name="Note 8 17" xfId="11254"/>
    <cellStyle name="Note 8 17 2" xfId="34029"/>
    <cellStyle name="Note 8 18" xfId="11910"/>
    <cellStyle name="Note 8 18 2" xfId="34685"/>
    <cellStyle name="Note 8 19" xfId="12566"/>
    <cellStyle name="Note 8 19 2" xfId="35341"/>
    <cellStyle name="Note 8 2" xfId="758"/>
    <cellStyle name="Note 8 2 10" xfId="8302"/>
    <cellStyle name="Note 8 2 10 2" xfId="31077"/>
    <cellStyle name="Note 8 2 11" xfId="8958"/>
    <cellStyle name="Note 8 2 11 2" xfId="31733"/>
    <cellStyle name="Note 8 2 12" xfId="9614"/>
    <cellStyle name="Note 8 2 12 2" xfId="32389"/>
    <cellStyle name="Note 8 2 13" xfId="10270"/>
    <cellStyle name="Note 8 2 13 2" xfId="33045"/>
    <cellStyle name="Note 8 2 14" xfId="10926"/>
    <cellStyle name="Note 8 2 14 2" xfId="33701"/>
    <cellStyle name="Note 8 2 15" xfId="11582"/>
    <cellStyle name="Note 8 2 15 2" xfId="34357"/>
    <cellStyle name="Note 8 2 16" xfId="12238"/>
    <cellStyle name="Note 8 2 16 2" xfId="35013"/>
    <cellStyle name="Note 8 2 17" xfId="12894"/>
    <cellStyle name="Note 8 2 17 2" xfId="35669"/>
    <cellStyle name="Note 8 2 18" xfId="13550"/>
    <cellStyle name="Note 8 2 18 2" xfId="36325"/>
    <cellStyle name="Note 8 2 19" xfId="14206"/>
    <cellStyle name="Note 8 2 19 2" xfId="36981"/>
    <cellStyle name="Note 8 2 2" xfId="1414"/>
    <cellStyle name="Note 8 2 2 2" xfId="3710"/>
    <cellStyle name="Note 8 2 2 2 2" xfId="26485"/>
    <cellStyle name="Note 8 2 2 3" xfId="24189"/>
    <cellStyle name="Note 8 2 20" xfId="14862"/>
    <cellStyle name="Note 8 2 20 2" xfId="37637"/>
    <cellStyle name="Note 8 2 21" xfId="15518"/>
    <cellStyle name="Note 8 2 21 2" xfId="38293"/>
    <cellStyle name="Note 8 2 22" xfId="16174"/>
    <cellStyle name="Note 8 2 22 2" xfId="38949"/>
    <cellStyle name="Note 8 2 23" xfId="16830"/>
    <cellStyle name="Note 8 2 23 2" xfId="39605"/>
    <cellStyle name="Note 8 2 24" xfId="17486"/>
    <cellStyle name="Note 8 2 24 2" xfId="40261"/>
    <cellStyle name="Note 8 2 25" xfId="18142"/>
    <cellStyle name="Note 8 2 25 2" xfId="40917"/>
    <cellStyle name="Note 8 2 26" xfId="18798"/>
    <cellStyle name="Note 8 2 26 2" xfId="41573"/>
    <cellStyle name="Note 8 2 27" xfId="19454"/>
    <cellStyle name="Note 8 2 27 2" xfId="42229"/>
    <cellStyle name="Note 8 2 28" xfId="20110"/>
    <cellStyle name="Note 8 2 28 2" xfId="42885"/>
    <cellStyle name="Note 8 2 29" xfId="20766"/>
    <cellStyle name="Note 8 2 29 2" xfId="43541"/>
    <cellStyle name="Note 8 2 3" xfId="2070"/>
    <cellStyle name="Note 8 2 3 2" xfId="4366"/>
    <cellStyle name="Note 8 2 3 2 2" xfId="27141"/>
    <cellStyle name="Note 8 2 3 3" xfId="24845"/>
    <cellStyle name="Note 8 2 30" xfId="21422"/>
    <cellStyle name="Note 8 2 30 2" xfId="44197"/>
    <cellStyle name="Note 8 2 31" xfId="22078"/>
    <cellStyle name="Note 8 2 31 2" xfId="44853"/>
    <cellStyle name="Note 8 2 32" xfId="22734"/>
    <cellStyle name="Note 8 2 32 2" xfId="45509"/>
    <cellStyle name="Note 8 2 33" xfId="23533"/>
    <cellStyle name="Note 8 2 4" xfId="5022"/>
    <cellStyle name="Note 8 2 4 2" xfId="27797"/>
    <cellStyle name="Note 8 2 5" xfId="5678"/>
    <cellStyle name="Note 8 2 5 2" xfId="28453"/>
    <cellStyle name="Note 8 2 6" xfId="6334"/>
    <cellStyle name="Note 8 2 6 2" xfId="29109"/>
    <cellStyle name="Note 8 2 7" xfId="3054"/>
    <cellStyle name="Note 8 2 7 2" xfId="25829"/>
    <cellStyle name="Note 8 2 8" xfId="6990"/>
    <cellStyle name="Note 8 2 8 2" xfId="29765"/>
    <cellStyle name="Note 8 2 9" xfId="7646"/>
    <cellStyle name="Note 8 2 9 2" xfId="30421"/>
    <cellStyle name="Note 8 20" xfId="13222"/>
    <cellStyle name="Note 8 20 2" xfId="35997"/>
    <cellStyle name="Note 8 21" xfId="13878"/>
    <cellStyle name="Note 8 21 2" xfId="36653"/>
    <cellStyle name="Note 8 22" xfId="14534"/>
    <cellStyle name="Note 8 22 2" xfId="37309"/>
    <cellStyle name="Note 8 23" xfId="15190"/>
    <cellStyle name="Note 8 23 2" xfId="37965"/>
    <cellStyle name="Note 8 24" xfId="15846"/>
    <cellStyle name="Note 8 24 2" xfId="38621"/>
    <cellStyle name="Note 8 25" xfId="16502"/>
    <cellStyle name="Note 8 25 2" xfId="39277"/>
    <cellStyle name="Note 8 26" xfId="17158"/>
    <cellStyle name="Note 8 26 2" xfId="39933"/>
    <cellStyle name="Note 8 27" xfId="17814"/>
    <cellStyle name="Note 8 27 2" xfId="40589"/>
    <cellStyle name="Note 8 28" xfId="18470"/>
    <cellStyle name="Note 8 28 2" xfId="41245"/>
    <cellStyle name="Note 8 29" xfId="19126"/>
    <cellStyle name="Note 8 29 2" xfId="41901"/>
    <cellStyle name="Note 8 3" xfId="1086"/>
    <cellStyle name="Note 8 3 2" xfId="2726"/>
    <cellStyle name="Note 8 3 2 2" xfId="25501"/>
    <cellStyle name="Note 8 3 3" xfId="23861"/>
    <cellStyle name="Note 8 30" xfId="19782"/>
    <cellStyle name="Note 8 30 2" xfId="42557"/>
    <cellStyle name="Note 8 31" xfId="20438"/>
    <cellStyle name="Note 8 31 2" xfId="43213"/>
    <cellStyle name="Note 8 32" xfId="21094"/>
    <cellStyle name="Note 8 32 2" xfId="43869"/>
    <cellStyle name="Note 8 33" xfId="21750"/>
    <cellStyle name="Note 8 33 2" xfId="44525"/>
    <cellStyle name="Note 8 34" xfId="22406"/>
    <cellStyle name="Note 8 34 2" xfId="45181"/>
    <cellStyle name="Note 8 35" xfId="23205"/>
    <cellStyle name="Note 8 4" xfId="1742"/>
    <cellStyle name="Note 8 4 2" xfId="3382"/>
    <cellStyle name="Note 8 4 2 2" xfId="26157"/>
    <cellStyle name="Note 8 4 3" xfId="24517"/>
    <cellStyle name="Note 8 5" xfId="4038"/>
    <cellStyle name="Note 8 5 2" xfId="26813"/>
    <cellStyle name="Note 8 6" xfId="4694"/>
    <cellStyle name="Note 8 6 2" xfId="27469"/>
    <cellStyle name="Note 8 7" xfId="5350"/>
    <cellStyle name="Note 8 7 2" xfId="28125"/>
    <cellStyle name="Note 8 8" xfId="6006"/>
    <cellStyle name="Note 8 8 2" xfId="28781"/>
    <cellStyle name="Note 8 9" xfId="2398"/>
    <cellStyle name="Note 8 9 2" xfId="25173"/>
    <cellStyle name="Note 9" xfId="445"/>
    <cellStyle name="Note 9 10" xfId="6676"/>
    <cellStyle name="Note 9 10 2" xfId="29451"/>
    <cellStyle name="Note 9 11" xfId="7332"/>
    <cellStyle name="Note 9 11 2" xfId="30107"/>
    <cellStyle name="Note 9 12" xfId="7988"/>
    <cellStyle name="Note 9 12 2" xfId="30763"/>
    <cellStyle name="Note 9 13" xfId="8644"/>
    <cellStyle name="Note 9 13 2" xfId="31419"/>
    <cellStyle name="Note 9 14" xfId="9300"/>
    <cellStyle name="Note 9 14 2" xfId="32075"/>
    <cellStyle name="Note 9 15" xfId="9956"/>
    <cellStyle name="Note 9 15 2" xfId="32731"/>
    <cellStyle name="Note 9 16" xfId="10612"/>
    <cellStyle name="Note 9 16 2" xfId="33387"/>
    <cellStyle name="Note 9 17" xfId="11268"/>
    <cellStyle name="Note 9 17 2" xfId="34043"/>
    <cellStyle name="Note 9 18" xfId="11924"/>
    <cellStyle name="Note 9 18 2" xfId="34699"/>
    <cellStyle name="Note 9 19" xfId="12580"/>
    <cellStyle name="Note 9 19 2" xfId="35355"/>
    <cellStyle name="Note 9 2" xfId="772"/>
    <cellStyle name="Note 9 2 10" xfId="8316"/>
    <cellStyle name="Note 9 2 10 2" xfId="31091"/>
    <cellStyle name="Note 9 2 11" xfId="8972"/>
    <cellStyle name="Note 9 2 11 2" xfId="31747"/>
    <cellStyle name="Note 9 2 12" xfId="9628"/>
    <cellStyle name="Note 9 2 12 2" xfId="32403"/>
    <cellStyle name="Note 9 2 13" xfId="10284"/>
    <cellStyle name="Note 9 2 13 2" xfId="33059"/>
    <cellStyle name="Note 9 2 14" xfId="10940"/>
    <cellStyle name="Note 9 2 14 2" xfId="33715"/>
    <cellStyle name="Note 9 2 15" xfId="11596"/>
    <cellStyle name="Note 9 2 15 2" xfId="34371"/>
    <cellStyle name="Note 9 2 16" xfId="12252"/>
    <cellStyle name="Note 9 2 16 2" xfId="35027"/>
    <cellStyle name="Note 9 2 17" xfId="12908"/>
    <cellStyle name="Note 9 2 17 2" xfId="35683"/>
    <cellStyle name="Note 9 2 18" xfId="13564"/>
    <cellStyle name="Note 9 2 18 2" xfId="36339"/>
    <cellStyle name="Note 9 2 19" xfId="14220"/>
    <cellStyle name="Note 9 2 19 2" xfId="36995"/>
    <cellStyle name="Note 9 2 2" xfId="1428"/>
    <cellStyle name="Note 9 2 2 2" xfId="3724"/>
    <cellStyle name="Note 9 2 2 2 2" xfId="26499"/>
    <cellStyle name="Note 9 2 2 3" xfId="24203"/>
    <cellStyle name="Note 9 2 20" xfId="14876"/>
    <cellStyle name="Note 9 2 20 2" xfId="37651"/>
    <cellStyle name="Note 9 2 21" xfId="15532"/>
    <cellStyle name="Note 9 2 21 2" xfId="38307"/>
    <cellStyle name="Note 9 2 22" xfId="16188"/>
    <cellStyle name="Note 9 2 22 2" xfId="38963"/>
    <cellStyle name="Note 9 2 23" xfId="16844"/>
    <cellStyle name="Note 9 2 23 2" xfId="39619"/>
    <cellStyle name="Note 9 2 24" xfId="17500"/>
    <cellStyle name="Note 9 2 24 2" xfId="40275"/>
    <cellStyle name="Note 9 2 25" xfId="18156"/>
    <cellStyle name="Note 9 2 25 2" xfId="40931"/>
    <cellStyle name="Note 9 2 26" xfId="18812"/>
    <cellStyle name="Note 9 2 26 2" xfId="41587"/>
    <cellStyle name="Note 9 2 27" xfId="19468"/>
    <cellStyle name="Note 9 2 27 2" xfId="42243"/>
    <cellStyle name="Note 9 2 28" xfId="20124"/>
    <cellStyle name="Note 9 2 28 2" xfId="42899"/>
    <cellStyle name="Note 9 2 29" xfId="20780"/>
    <cellStyle name="Note 9 2 29 2" xfId="43555"/>
    <cellStyle name="Note 9 2 3" xfId="2084"/>
    <cellStyle name="Note 9 2 3 2" xfId="4380"/>
    <cellStyle name="Note 9 2 3 2 2" xfId="27155"/>
    <cellStyle name="Note 9 2 3 3" xfId="24859"/>
    <cellStyle name="Note 9 2 30" xfId="21436"/>
    <cellStyle name="Note 9 2 30 2" xfId="44211"/>
    <cellStyle name="Note 9 2 31" xfId="22092"/>
    <cellStyle name="Note 9 2 31 2" xfId="44867"/>
    <cellStyle name="Note 9 2 32" xfId="22748"/>
    <cellStyle name="Note 9 2 32 2" xfId="45523"/>
    <cellStyle name="Note 9 2 33" xfId="23547"/>
    <cellStyle name="Note 9 2 4" xfId="5036"/>
    <cellStyle name="Note 9 2 4 2" xfId="27811"/>
    <cellStyle name="Note 9 2 5" xfId="5692"/>
    <cellStyle name="Note 9 2 5 2" xfId="28467"/>
    <cellStyle name="Note 9 2 6" xfId="6348"/>
    <cellStyle name="Note 9 2 6 2" xfId="29123"/>
    <cellStyle name="Note 9 2 7" xfId="3068"/>
    <cellStyle name="Note 9 2 7 2" xfId="25843"/>
    <cellStyle name="Note 9 2 8" xfId="7004"/>
    <cellStyle name="Note 9 2 8 2" xfId="29779"/>
    <cellStyle name="Note 9 2 9" xfId="7660"/>
    <cellStyle name="Note 9 2 9 2" xfId="30435"/>
    <cellStyle name="Note 9 20" xfId="13236"/>
    <cellStyle name="Note 9 20 2" xfId="36011"/>
    <cellStyle name="Note 9 21" xfId="13892"/>
    <cellStyle name="Note 9 21 2" xfId="36667"/>
    <cellStyle name="Note 9 22" xfId="14548"/>
    <cellStyle name="Note 9 22 2" xfId="37323"/>
    <cellStyle name="Note 9 23" xfId="15204"/>
    <cellStyle name="Note 9 23 2" xfId="37979"/>
    <cellStyle name="Note 9 24" xfId="15860"/>
    <cellStyle name="Note 9 24 2" xfId="38635"/>
    <cellStyle name="Note 9 25" xfId="16516"/>
    <cellStyle name="Note 9 25 2" xfId="39291"/>
    <cellStyle name="Note 9 26" xfId="17172"/>
    <cellStyle name="Note 9 26 2" xfId="39947"/>
    <cellStyle name="Note 9 27" xfId="17828"/>
    <cellStyle name="Note 9 27 2" xfId="40603"/>
    <cellStyle name="Note 9 28" xfId="18484"/>
    <cellStyle name="Note 9 28 2" xfId="41259"/>
    <cellStyle name="Note 9 29" xfId="19140"/>
    <cellStyle name="Note 9 29 2" xfId="41915"/>
    <cellStyle name="Note 9 3" xfId="1100"/>
    <cellStyle name="Note 9 3 2" xfId="2740"/>
    <cellStyle name="Note 9 3 2 2" xfId="25515"/>
    <cellStyle name="Note 9 3 3" xfId="23875"/>
    <cellStyle name="Note 9 30" xfId="19796"/>
    <cellStyle name="Note 9 30 2" xfId="42571"/>
    <cellStyle name="Note 9 31" xfId="20452"/>
    <cellStyle name="Note 9 31 2" xfId="43227"/>
    <cellStyle name="Note 9 32" xfId="21108"/>
    <cellStyle name="Note 9 32 2" xfId="43883"/>
    <cellStyle name="Note 9 33" xfId="21764"/>
    <cellStyle name="Note 9 33 2" xfId="44539"/>
    <cellStyle name="Note 9 34" xfId="22420"/>
    <cellStyle name="Note 9 34 2" xfId="45195"/>
    <cellStyle name="Note 9 35" xfId="23219"/>
    <cellStyle name="Note 9 4" xfId="1756"/>
    <cellStyle name="Note 9 4 2" xfId="3396"/>
    <cellStyle name="Note 9 4 2 2" xfId="26171"/>
    <cellStyle name="Note 9 4 3" xfId="24531"/>
    <cellStyle name="Note 9 5" xfId="4052"/>
    <cellStyle name="Note 9 5 2" xfId="26827"/>
    <cellStyle name="Note 9 6" xfId="4708"/>
    <cellStyle name="Note 9 6 2" xfId="27483"/>
    <cellStyle name="Note 9 7" xfId="5364"/>
    <cellStyle name="Note 9 7 2" xfId="28139"/>
    <cellStyle name="Note 9 8" xfId="6020"/>
    <cellStyle name="Note 9 8 2" xfId="28795"/>
    <cellStyle name="Note 9 9" xfId="2412"/>
    <cellStyle name="Note 9 9 2" xfId="25187"/>
    <cellStyle name="Output" xfId="13" builtinId="21" customBuiltin="1"/>
    <cellStyle name="Percent" xfId="45679" builtinId="5"/>
    <cellStyle name="Percent 2" xfId="49"/>
    <cellStyle name="Percent 2 2" xfId="127"/>
    <cellStyle name="Percent 3" xfId="46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645A0106-2FA1-4F1F-9082-FD03E5EF5F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AppData/Local/Microsoft/Windows/Temporary%20Internet%20Files/Content.Outlook/579CM557/LFPS%20DL%20CND%20%206-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1">
          <cell r="A1" t="str">
            <v>Part Number</v>
          </cell>
          <cell r="B1" t="str">
            <v>Pop Rating</v>
          </cell>
          <cell r="C1" t="str">
            <v>Jobber Price</v>
          </cell>
        </row>
        <row r="2">
          <cell r="A2" t="str">
            <v>G1/4</v>
          </cell>
          <cell r="B2" t="str">
            <v>B</v>
          </cell>
          <cell r="C2">
            <v>5.5</v>
          </cell>
        </row>
        <row r="3">
          <cell r="A3" t="str">
            <v>G1/4P</v>
          </cell>
          <cell r="B3" t="str">
            <v>N</v>
          </cell>
          <cell r="C3">
            <v>4.2</v>
          </cell>
        </row>
        <row r="4">
          <cell r="A4" t="str">
            <v>G3/8</v>
          </cell>
          <cell r="B4" t="str">
            <v>A</v>
          </cell>
          <cell r="C4">
            <v>6.07</v>
          </cell>
        </row>
        <row r="5">
          <cell r="A5" t="str">
            <v>G3/8CP</v>
          </cell>
          <cell r="B5" t="str">
            <v>N</v>
          </cell>
          <cell r="C5">
            <v>5.05</v>
          </cell>
        </row>
        <row r="6">
          <cell r="A6" t="str">
            <v>G5/16</v>
          </cell>
          <cell r="B6" t="str">
            <v>B</v>
          </cell>
          <cell r="C6">
            <v>4.16</v>
          </cell>
        </row>
        <row r="7">
          <cell r="A7" t="str">
            <v>G5/16CP</v>
          </cell>
          <cell r="B7" t="str">
            <v>N</v>
          </cell>
          <cell r="C7">
            <v>4.4400000000000004</v>
          </cell>
        </row>
        <row r="8">
          <cell r="A8" t="str">
            <v>FC1HD</v>
          </cell>
          <cell r="B8" t="str">
            <v>D</v>
          </cell>
          <cell r="C8">
            <v>215.68</v>
          </cell>
        </row>
        <row r="9">
          <cell r="A9" t="str">
            <v>FW1</v>
          </cell>
          <cell r="B9" t="str">
            <v>D</v>
          </cell>
          <cell r="C9">
            <v>18.239999999999998</v>
          </cell>
        </row>
        <row r="10">
          <cell r="A10" t="str">
            <v>FW1C</v>
          </cell>
          <cell r="B10" t="str">
            <v>D</v>
          </cell>
          <cell r="C10">
            <v>12.85</v>
          </cell>
        </row>
        <row r="11">
          <cell r="A11" t="str">
            <v>G1</v>
          </cell>
          <cell r="B11" t="str">
            <v>B</v>
          </cell>
          <cell r="C11">
            <v>7.2</v>
          </cell>
        </row>
        <row r="12">
          <cell r="A12" t="str">
            <v>HP1</v>
          </cell>
          <cell r="B12" t="str">
            <v>B</v>
          </cell>
          <cell r="C12">
            <v>13.19</v>
          </cell>
        </row>
        <row r="13">
          <cell r="A13" t="str">
            <v>KIT1</v>
          </cell>
          <cell r="B13" t="str">
            <v>D</v>
          </cell>
          <cell r="C13">
            <v>6.53</v>
          </cell>
        </row>
        <row r="14">
          <cell r="A14" t="str">
            <v>LDFTK-IQ</v>
          </cell>
          <cell r="B14" t="str">
            <v>D</v>
          </cell>
          <cell r="C14">
            <v>381.34</v>
          </cell>
        </row>
        <row r="15">
          <cell r="A15" t="str">
            <v>LDFTK-T1</v>
          </cell>
          <cell r="B15" t="str">
            <v>D</v>
          </cell>
          <cell r="C15">
            <v>543.87</v>
          </cell>
        </row>
        <row r="16">
          <cell r="A16" t="str">
            <v>LK1M</v>
          </cell>
          <cell r="B16" t="str">
            <v>D</v>
          </cell>
          <cell r="C16">
            <v>56.88</v>
          </cell>
        </row>
        <row r="17">
          <cell r="A17" t="str">
            <v>LK1MA</v>
          </cell>
          <cell r="B17" t="str">
            <v>D</v>
          </cell>
          <cell r="C17">
            <v>128.06</v>
          </cell>
        </row>
        <row r="18">
          <cell r="A18" t="str">
            <v>LOSK-1</v>
          </cell>
          <cell r="B18" t="str">
            <v>D</v>
          </cell>
          <cell r="C18">
            <v>17.63</v>
          </cell>
        </row>
        <row r="19">
          <cell r="A19" t="str">
            <v>FF2D</v>
          </cell>
          <cell r="B19" t="str">
            <v>B</v>
          </cell>
          <cell r="C19">
            <v>8.83</v>
          </cell>
        </row>
        <row r="20">
          <cell r="A20" t="str">
            <v>FF2D-30</v>
          </cell>
          <cell r="B20" t="str">
            <v>D</v>
          </cell>
          <cell r="C20">
            <v>12.07</v>
          </cell>
        </row>
        <row r="21">
          <cell r="A21" t="str">
            <v>LAF2</v>
          </cell>
          <cell r="B21" t="str">
            <v>D</v>
          </cell>
          <cell r="C21">
            <v>26.9</v>
          </cell>
        </row>
        <row r="22">
          <cell r="A22" t="str">
            <v>LCTK-C2</v>
          </cell>
          <cell r="B22" t="str">
            <v>D</v>
          </cell>
          <cell r="C22">
            <v>63.57</v>
          </cell>
        </row>
        <row r="23">
          <cell r="A23" t="str">
            <v>LFF2</v>
          </cell>
          <cell r="B23" t="str">
            <v>A</v>
          </cell>
          <cell r="C23">
            <v>8.8000000000000007</v>
          </cell>
        </row>
        <row r="24">
          <cell r="A24" t="str">
            <v>LGK2</v>
          </cell>
          <cell r="B24" t="str">
            <v>D</v>
          </cell>
          <cell r="C24">
            <v>24.3</v>
          </cell>
        </row>
        <row r="25">
          <cell r="A25" t="str">
            <v>LK2M</v>
          </cell>
          <cell r="B25" t="str">
            <v>D</v>
          </cell>
          <cell r="C25">
            <v>59.08</v>
          </cell>
        </row>
        <row r="26">
          <cell r="A26" t="str">
            <v>P2</v>
          </cell>
          <cell r="B26" t="str">
            <v>D</v>
          </cell>
          <cell r="C26">
            <v>11.38</v>
          </cell>
        </row>
        <row r="27">
          <cell r="A27" t="str">
            <v>PC2</v>
          </cell>
          <cell r="B27" t="str">
            <v>D</v>
          </cell>
          <cell r="C27">
            <v>4.47</v>
          </cell>
        </row>
        <row r="28">
          <cell r="A28" t="str">
            <v>FW3</v>
          </cell>
          <cell r="B28" t="str">
            <v>D</v>
          </cell>
          <cell r="C28">
            <v>16.39</v>
          </cell>
        </row>
        <row r="29">
          <cell r="A29" t="str">
            <v>FW3C</v>
          </cell>
          <cell r="B29" t="str">
            <v>D</v>
          </cell>
          <cell r="C29">
            <v>14.76</v>
          </cell>
        </row>
        <row r="30">
          <cell r="A30" t="str">
            <v>LK3M</v>
          </cell>
          <cell r="B30" t="str">
            <v>D</v>
          </cell>
          <cell r="C30">
            <v>89.48</v>
          </cell>
        </row>
        <row r="31">
          <cell r="A31" t="str">
            <v>LOSK-3</v>
          </cell>
          <cell r="B31" t="str">
            <v>D</v>
          </cell>
          <cell r="C31">
            <v>37.44</v>
          </cell>
        </row>
        <row r="32">
          <cell r="A32" t="str">
            <v>P3</v>
          </cell>
          <cell r="B32" t="str">
            <v>D</v>
          </cell>
          <cell r="C32">
            <v>11.59</v>
          </cell>
        </row>
        <row r="33">
          <cell r="A33" t="str">
            <v>AF4</v>
          </cell>
          <cell r="B33" t="str">
            <v>D</v>
          </cell>
          <cell r="C33">
            <v>7.71</v>
          </cell>
        </row>
        <row r="34">
          <cell r="A34" t="str">
            <v>FW4C</v>
          </cell>
          <cell r="B34" t="str">
            <v>D</v>
          </cell>
          <cell r="C34">
            <v>15.32</v>
          </cell>
        </row>
        <row r="35">
          <cell r="A35" t="str">
            <v>LAFP4</v>
          </cell>
          <cell r="B35" t="str">
            <v>D</v>
          </cell>
          <cell r="C35">
            <v>18.7</v>
          </cell>
        </row>
        <row r="36">
          <cell r="A36" t="str">
            <v>P4</v>
          </cell>
          <cell r="B36" t="str">
            <v>D</v>
          </cell>
          <cell r="C36">
            <v>14.45</v>
          </cell>
        </row>
        <row r="37">
          <cell r="A37" t="str">
            <v>PH4</v>
          </cell>
          <cell r="B37" t="str">
            <v>D</v>
          </cell>
          <cell r="C37">
            <v>23.23</v>
          </cell>
        </row>
        <row r="38">
          <cell r="A38" t="str">
            <v>AF5HD</v>
          </cell>
          <cell r="B38" t="str">
            <v>B</v>
          </cell>
          <cell r="C38">
            <v>12.37</v>
          </cell>
        </row>
        <row r="39">
          <cell r="A39" t="str">
            <v>FW5HD</v>
          </cell>
          <cell r="B39" t="str">
            <v>D</v>
          </cell>
          <cell r="C39">
            <v>88.02</v>
          </cell>
        </row>
        <row r="40">
          <cell r="A40" t="str">
            <v>LFF5</v>
          </cell>
          <cell r="B40" t="str">
            <v>A</v>
          </cell>
          <cell r="C40">
            <v>6.38</v>
          </cell>
        </row>
        <row r="41">
          <cell r="A41" t="str">
            <v>LFF5D</v>
          </cell>
          <cell r="B41" t="str">
            <v>A</v>
          </cell>
          <cell r="C41">
            <v>9.5</v>
          </cell>
        </row>
        <row r="42">
          <cell r="A42" t="str">
            <v>LOSK-5D</v>
          </cell>
          <cell r="B42" t="str">
            <v>D</v>
          </cell>
          <cell r="C42">
            <v>65.48</v>
          </cell>
        </row>
        <row r="43">
          <cell r="A43" t="str">
            <v>FW6HD</v>
          </cell>
          <cell r="B43" t="str">
            <v>D</v>
          </cell>
          <cell r="C43">
            <v>90.46</v>
          </cell>
        </row>
        <row r="44">
          <cell r="A44" t="str">
            <v>G6</v>
          </cell>
          <cell r="B44" t="str">
            <v>D</v>
          </cell>
          <cell r="C44">
            <v>3.59</v>
          </cell>
        </row>
        <row r="45">
          <cell r="A45" t="str">
            <v>FW7HD</v>
          </cell>
          <cell r="B45" t="str">
            <v>D</v>
          </cell>
          <cell r="C45">
            <v>102.41</v>
          </cell>
        </row>
        <row r="46">
          <cell r="A46" t="str">
            <v>G7</v>
          </cell>
          <cell r="B46" t="str">
            <v>D</v>
          </cell>
          <cell r="C46">
            <v>9.32</v>
          </cell>
        </row>
        <row r="47">
          <cell r="A47" t="str">
            <v>P7FF</v>
          </cell>
          <cell r="B47" t="str">
            <v>D</v>
          </cell>
          <cell r="C47">
            <v>11.57</v>
          </cell>
        </row>
        <row r="48">
          <cell r="A48" t="str">
            <v>FW8HD</v>
          </cell>
          <cell r="B48" t="str">
            <v>D</v>
          </cell>
          <cell r="C48">
            <v>37.85</v>
          </cell>
        </row>
        <row r="49">
          <cell r="A49" t="str">
            <v>PH8A</v>
          </cell>
          <cell r="B49" t="str">
            <v>A</v>
          </cell>
          <cell r="C49">
            <v>4.9400000000000004</v>
          </cell>
        </row>
        <row r="50">
          <cell r="A50" t="str">
            <v>PH8AM</v>
          </cell>
          <cell r="B50" t="str">
            <v>N</v>
          </cell>
          <cell r="C50">
            <v>7.87</v>
          </cell>
        </row>
        <row r="51">
          <cell r="A51" t="str">
            <v>LK9I</v>
          </cell>
          <cell r="B51" t="str">
            <v>D</v>
          </cell>
          <cell r="C51">
            <v>57.44</v>
          </cell>
        </row>
        <row r="52">
          <cell r="A52" t="str">
            <v>L10F</v>
          </cell>
          <cell r="B52" t="str">
            <v>D</v>
          </cell>
          <cell r="C52">
            <v>11.53</v>
          </cell>
        </row>
        <row r="53">
          <cell r="A53" t="str">
            <v>LCTK10</v>
          </cell>
          <cell r="B53" t="str">
            <v>D</v>
          </cell>
          <cell r="C53">
            <v>215.02</v>
          </cell>
        </row>
        <row r="54">
          <cell r="A54" t="str">
            <v>AF11</v>
          </cell>
          <cell r="B54" t="str">
            <v>D</v>
          </cell>
          <cell r="C54">
            <v>3.87</v>
          </cell>
        </row>
        <row r="55">
          <cell r="A55" t="str">
            <v>LCTS11</v>
          </cell>
          <cell r="B55" t="str">
            <v>D</v>
          </cell>
          <cell r="C55">
            <v>71.61</v>
          </cell>
        </row>
        <row r="56">
          <cell r="A56" t="str">
            <v>LCTK12</v>
          </cell>
          <cell r="B56" t="str">
            <v>C</v>
          </cell>
          <cell r="C56">
            <v>8.07</v>
          </cell>
        </row>
        <row r="57">
          <cell r="A57" t="str">
            <v>LF13MHDAC1</v>
          </cell>
          <cell r="C57">
            <v>0</v>
          </cell>
        </row>
        <row r="58">
          <cell r="A58" t="str">
            <v>LFF12D</v>
          </cell>
          <cell r="B58" t="str">
            <v>D</v>
          </cell>
          <cell r="C58">
            <v>10.66</v>
          </cell>
        </row>
        <row r="59">
          <cell r="A59" t="str">
            <v>AF13</v>
          </cell>
          <cell r="B59" t="str">
            <v>D</v>
          </cell>
          <cell r="C59">
            <v>12.07</v>
          </cell>
        </row>
        <row r="60">
          <cell r="A60" t="str">
            <v>AF14</v>
          </cell>
          <cell r="B60" t="str">
            <v>D</v>
          </cell>
          <cell r="C60">
            <v>10.5</v>
          </cell>
        </row>
        <row r="61">
          <cell r="A61" t="str">
            <v>L14F</v>
          </cell>
          <cell r="B61" t="str">
            <v>D</v>
          </cell>
          <cell r="C61">
            <v>15.26</v>
          </cell>
        </row>
        <row r="62">
          <cell r="A62" t="str">
            <v>LF14-ALTAC1</v>
          </cell>
          <cell r="C62">
            <v>0</v>
          </cell>
        </row>
        <row r="63">
          <cell r="A63" t="str">
            <v>LF14-CRPAC1</v>
          </cell>
          <cell r="C63">
            <v>0</v>
          </cell>
        </row>
        <row r="64">
          <cell r="A64" t="str">
            <v>G15</v>
          </cell>
          <cell r="B64" t="str">
            <v>D</v>
          </cell>
          <cell r="C64">
            <v>6.05</v>
          </cell>
        </row>
        <row r="65">
          <cell r="A65" t="str">
            <v>LAF15</v>
          </cell>
          <cell r="B65" t="str">
            <v>C</v>
          </cell>
          <cell r="C65">
            <v>92.8</v>
          </cell>
        </row>
        <row r="66">
          <cell r="A66" t="str">
            <v>LAF15F</v>
          </cell>
          <cell r="B66" t="str">
            <v>D</v>
          </cell>
          <cell r="C66">
            <v>27.55</v>
          </cell>
        </row>
        <row r="67">
          <cell r="A67" t="str">
            <v>LF15-CRPAC1</v>
          </cell>
          <cell r="C67">
            <v>0</v>
          </cell>
        </row>
        <row r="68">
          <cell r="A68" t="str">
            <v>LFF15</v>
          </cell>
          <cell r="B68" t="str">
            <v>D</v>
          </cell>
          <cell r="C68">
            <v>16.45</v>
          </cell>
        </row>
        <row r="69">
          <cell r="A69" t="str">
            <v>LFF15-30</v>
          </cell>
          <cell r="B69" t="str">
            <v>D</v>
          </cell>
          <cell r="C69">
            <v>20.09</v>
          </cell>
        </row>
        <row r="70">
          <cell r="A70" t="str">
            <v>LFF15DPS</v>
          </cell>
          <cell r="B70" t="str">
            <v>D</v>
          </cell>
          <cell r="C70">
            <v>28.32</v>
          </cell>
        </row>
        <row r="71">
          <cell r="A71" t="str">
            <v>AF16</v>
          </cell>
          <cell r="B71" t="str">
            <v>D</v>
          </cell>
          <cell r="C71">
            <v>2.82</v>
          </cell>
        </row>
        <row r="72">
          <cell r="A72" t="str">
            <v>G16</v>
          </cell>
          <cell r="B72" t="str">
            <v>D</v>
          </cell>
          <cell r="C72">
            <v>4.46</v>
          </cell>
        </row>
        <row r="73">
          <cell r="A73" t="str">
            <v>LAF16</v>
          </cell>
          <cell r="B73" t="str">
            <v>D</v>
          </cell>
          <cell r="C73">
            <v>51.12</v>
          </cell>
        </row>
        <row r="74">
          <cell r="A74" t="str">
            <v>AF17</v>
          </cell>
          <cell r="B74" t="str">
            <v>D</v>
          </cell>
          <cell r="C74">
            <v>2.7</v>
          </cell>
        </row>
        <row r="75">
          <cell r="A75" t="str">
            <v>AF19</v>
          </cell>
          <cell r="B75" t="str">
            <v>D</v>
          </cell>
          <cell r="C75">
            <v>16.079999999999998</v>
          </cell>
        </row>
        <row r="76">
          <cell r="A76" t="str">
            <v>AF20</v>
          </cell>
          <cell r="B76" t="str">
            <v>D</v>
          </cell>
          <cell r="C76">
            <v>6.67</v>
          </cell>
        </row>
        <row r="77">
          <cell r="A77" t="str">
            <v>FP20</v>
          </cell>
          <cell r="B77" t="str">
            <v>B</v>
          </cell>
          <cell r="C77">
            <v>6.59</v>
          </cell>
        </row>
        <row r="78">
          <cell r="A78" t="str">
            <v>AF21</v>
          </cell>
          <cell r="B78" t="str">
            <v>D</v>
          </cell>
          <cell r="C78">
            <v>2.44</v>
          </cell>
        </row>
        <row r="79">
          <cell r="A79" t="str">
            <v>LK21C</v>
          </cell>
          <cell r="B79" t="str">
            <v>D</v>
          </cell>
          <cell r="C79">
            <v>58.47</v>
          </cell>
        </row>
        <row r="80">
          <cell r="A80" t="str">
            <v>G22</v>
          </cell>
          <cell r="B80" t="str">
            <v>D</v>
          </cell>
          <cell r="C80">
            <v>3.92</v>
          </cell>
        </row>
        <row r="81">
          <cell r="A81" t="str">
            <v>LAF22</v>
          </cell>
          <cell r="B81" t="str">
            <v>D</v>
          </cell>
          <cell r="C81">
            <v>38.94</v>
          </cell>
        </row>
        <row r="82">
          <cell r="A82" t="str">
            <v>L23F</v>
          </cell>
          <cell r="B82" t="str">
            <v>D</v>
          </cell>
          <cell r="C82">
            <v>11.73</v>
          </cell>
        </row>
        <row r="83">
          <cell r="A83" t="str">
            <v>AF24</v>
          </cell>
          <cell r="B83" t="str">
            <v>D</v>
          </cell>
          <cell r="C83">
            <v>2.69</v>
          </cell>
        </row>
        <row r="84">
          <cell r="A84" t="str">
            <v>L24A</v>
          </cell>
          <cell r="B84" t="str">
            <v>D</v>
          </cell>
          <cell r="C84">
            <v>13.1</v>
          </cell>
        </row>
        <row r="85">
          <cell r="A85" t="str">
            <v>LAF24</v>
          </cell>
          <cell r="B85" t="str">
            <v>D</v>
          </cell>
          <cell r="C85">
            <v>59.75</v>
          </cell>
        </row>
        <row r="86">
          <cell r="A86" t="str">
            <v>PH24</v>
          </cell>
          <cell r="B86" t="str">
            <v>D</v>
          </cell>
          <cell r="C86">
            <v>7.07</v>
          </cell>
        </row>
        <row r="87">
          <cell r="A87" t="str">
            <v>LAF25</v>
          </cell>
          <cell r="B87" t="str">
            <v>D</v>
          </cell>
          <cell r="C87">
            <v>21.86</v>
          </cell>
        </row>
        <row r="88">
          <cell r="A88" t="str">
            <v>AF26</v>
          </cell>
          <cell r="B88" t="str">
            <v>D</v>
          </cell>
          <cell r="C88">
            <v>6.12</v>
          </cell>
        </row>
        <row r="89">
          <cell r="A89" t="str">
            <v>L26</v>
          </cell>
          <cell r="B89" t="str">
            <v>D</v>
          </cell>
          <cell r="C89">
            <v>39.47</v>
          </cell>
        </row>
        <row r="90">
          <cell r="A90" t="str">
            <v>PH26</v>
          </cell>
          <cell r="B90" t="str">
            <v>D</v>
          </cell>
          <cell r="C90">
            <v>6.91</v>
          </cell>
        </row>
        <row r="91">
          <cell r="A91" t="str">
            <v>AF27</v>
          </cell>
          <cell r="B91" t="str">
            <v>D</v>
          </cell>
          <cell r="C91">
            <v>3.13</v>
          </cell>
        </row>
        <row r="92">
          <cell r="A92" t="str">
            <v>AF28</v>
          </cell>
          <cell r="B92" t="str">
            <v>D</v>
          </cell>
          <cell r="C92">
            <v>3.37</v>
          </cell>
        </row>
        <row r="93">
          <cell r="A93" t="str">
            <v>AF30</v>
          </cell>
          <cell r="B93" t="str">
            <v>D</v>
          </cell>
          <cell r="C93">
            <v>44.7</v>
          </cell>
        </row>
        <row r="94">
          <cell r="A94" t="str">
            <v>AF31</v>
          </cell>
          <cell r="B94" t="str">
            <v>D</v>
          </cell>
          <cell r="C94">
            <v>17.989999999999998</v>
          </cell>
        </row>
        <row r="95">
          <cell r="A95" t="str">
            <v>AF32</v>
          </cell>
          <cell r="B95" t="str">
            <v>D</v>
          </cell>
          <cell r="C95">
            <v>12.1</v>
          </cell>
        </row>
        <row r="96">
          <cell r="A96" t="str">
            <v>LP32</v>
          </cell>
          <cell r="B96" t="str">
            <v>D</v>
          </cell>
          <cell r="C96">
            <v>28.77</v>
          </cell>
        </row>
        <row r="97">
          <cell r="A97" t="str">
            <v>PC33</v>
          </cell>
          <cell r="B97" t="str">
            <v>D</v>
          </cell>
          <cell r="C97">
            <v>3.72</v>
          </cell>
        </row>
        <row r="98">
          <cell r="A98" t="str">
            <v>LP38</v>
          </cell>
          <cell r="B98" t="str">
            <v>D</v>
          </cell>
          <cell r="C98">
            <v>20.059999999999999</v>
          </cell>
        </row>
        <row r="99">
          <cell r="A99" t="str">
            <v>AF40</v>
          </cell>
          <cell r="B99" t="str">
            <v>D</v>
          </cell>
          <cell r="C99">
            <v>21.6</v>
          </cell>
        </row>
        <row r="100">
          <cell r="A100" t="str">
            <v>LK40C</v>
          </cell>
          <cell r="B100" t="str">
            <v>D</v>
          </cell>
          <cell r="C100">
            <v>43.13</v>
          </cell>
        </row>
        <row r="101">
          <cell r="A101" t="str">
            <v>LAF41</v>
          </cell>
          <cell r="B101" t="str">
            <v>D</v>
          </cell>
          <cell r="C101">
            <v>29.44</v>
          </cell>
        </row>
        <row r="102">
          <cell r="A102" t="str">
            <v>L43F</v>
          </cell>
          <cell r="B102" t="str">
            <v>D</v>
          </cell>
          <cell r="C102">
            <v>27.38</v>
          </cell>
        </row>
        <row r="103">
          <cell r="A103" t="str">
            <v>LP44</v>
          </cell>
          <cell r="B103" t="str">
            <v>D</v>
          </cell>
          <cell r="C103">
            <v>33.68</v>
          </cell>
        </row>
        <row r="104">
          <cell r="A104" t="str">
            <v>PH44</v>
          </cell>
          <cell r="B104" t="str">
            <v>A</v>
          </cell>
          <cell r="C104">
            <v>7.62</v>
          </cell>
        </row>
        <row r="105">
          <cell r="A105" t="str">
            <v>PH44M</v>
          </cell>
          <cell r="B105" t="str">
            <v>N</v>
          </cell>
          <cell r="C105">
            <v>8.0299999999999994</v>
          </cell>
        </row>
        <row r="106">
          <cell r="A106" t="str">
            <v>LAF45</v>
          </cell>
          <cell r="B106" t="str">
            <v>D</v>
          </cell>
          <cell r="C106">
            <v>55.43</v>
          </cell>
        </row>
        <row r="107">
          <cell r="A107" t="str">
            <v>LAF46</v>
          </cell>
          <cell r="B107" t="str">
            <v>D</v>
          </cell>
          <cell r="C107">
            <v>56.24</v>
          </cell>
        </row>
        <row r="108">
          <cell r="A108" t="str">
            <v>LAF47</v>
          </cell>
          <cell r="B108" t="str">
            <v>D</v>
          </cell>
          <cell r="C108">
            <v>46.15</v>
          </cell>
        </row>
        <row r="109">
          <cell r="A109" t="str">
            <v>LAF47MXM</v>
          </cell>
          <cell r="B109" t="str">
            <v>N</v>
          </cell>
          <cell r="C109">
            <v>56.6</v>
          </cell>
        </row>
        <row r="110">
          <cell r="A110" t="str">
            <v>PH47</v>
          </cell>
          <cell r="B110" t="str">
            <v>A</v>
          </cell>
          <cell r="C110">
            <v>5.26</v>
          </cell>
        </row>
        <row r="111">
          <cell r="A111" t="str">
            <v>PH47M</v>
          </cell>
          <cell r="B111" t="str">
            <v>N</v>
          </cell>
          <cell r="C111">
            <v>5.85</v>
          </cell>
        </row>
        <row r="112">
          <cell r="A112" t="str">
            <v>LAF48</v>
          </cell>
          <cell r="B112" t="str">
            <v>D</v>
          </cell>
          <cell r="C112">
            <v>43.85</v>
          </cell>
        </row>
        <row r="113">
          <cell r="A113" t="str">
            <v>PH48</v>
          </cell>
          <cell r="B113" t="str">
            <v>A</v>
          </cell>
          <cell r="C113">
            <v>5.99</v>
          </cell>
        </row>
        <row r="114">
          <cell r="A114" t="str">
            <v>PH48R</v>
          </cell>
          <cell r="B114" t="str">
            <v>D</v>
          </cell>
          <cell r="C114">
            <v>11.22</v>
          </cell>
        </row>
        <row r="115">
          <cell r="A115" t="str">
            <v>P49</v>
          </cell>
          <cell r="B115" t="str">
            <v>D</v>
          </cell>
          <cell r="C115">
            <v>11.61</v>
          </cell>
        </row>
        <row r="116">
          <cell r="A116" t="str">
            <v>AF50A</v>
          </cell>
          <cell r="B116" t="str">
            <v>D</v>
          </cell>
          <cell r="C116">
            <v>8.1300000000000008</v>
          </cell>
        </row>
        <row r="117">
          <cell r="A117" t="str">
            <v>L50F</v>
          </cell>
          <cell r="B117" t="str">
            <v>D</v>
          </cell>
          <cell r="C117">
            <v>62.84</v>
          </cell>
        </row>
        <row r="118">
          <cell r="A118" t="str">
            <v>PB50</v>
          </cell>
          <cell r="B118" t="str">
            <v>B</v>
          </cell>
          <cell r="C118">
            <v>7.63</v>
          </cell>
        </row>
        <row r="119">
          <cell r="A119" t="str">
            <v>AF51</v>
          </cell>
          <cell r="B119" t="str">
            <v>D</v>
          </cell>
          <cell r="C119">
            <v>9.2200000000000006</v>
          </cell>
        </row>
        <row r="120">
          <cell r="A120" t="str">
            <v>PC51</v>
          </cell>
          <cell r="B120" t="str">
            <v>D</v>
          </cell>
          <cell r="C120">
            <v>3.07</v>
          </cell>
        </row>
        <row r="121">
          <cell r="A121" t="str">
            <v>PH51A</v>
          </cell>
          <cell r="B121" t="str">
            <v>A</v>
          </cell>
          <cell r="C121">
            <v>5.48</v>
          </cell>
        </row>
        <row r="122">
          <cell r="A122" t="str">
            <v>PH51AM</v>
          </cell>
          <cell r="B122" t="str">
            <v>N</v>
          </cell>
          <cell r="C122">
            <v>5.88</v>
          </cell>
        </row>
        <row r="123">
          <cell r="A123" t="str">
            <v>AF52</v>
          </cell>
          <cell r="B123" t="str">
            <v>D</v>
          </cell>
          <cell r="C123">
            <v>6.85</v>
          </cell>
        </row>
        <row r="124">
          <cell r="A124" t="str">
            <v>P52</v>
          </cell>
          <cell r="B124" t="str">
            <v>D</v>
          </cell>
          <cell r="C124">
            <v>10.93</v>
          </cell>
        </row>
        <row r="125">
          <cell r="A125" t="str">
            <v>PH52</v>
          </cell>
          <cell r="B125" t="str">
            <v>D</v>
          </cell>
          <cell r="C125">
            <v>10.16</v>
          </cell>
        </row>
        <row r="126">
          <cell r="A126" t="str">
            <v>LFP54</v>
          </cell>
          <cell r="B126" t="str">
            <v>A</v>
          </cell>
          <cell r="C126">
            <v>7.65</v>
          </cell>
        </row>
        <row r="127">
          <cell r="A127" t="str">
            <v>LK54CA</v>
          </cell>
          <cell r="B127" t="str">
            <v>D</v>
          </cell>
          <cell r="C127">
            <v>47.85</v>
          </cell>
        </row>
        <row r="128">
          <cell r="A128" t="str">
            <v>PC54</v>
          </cell>
          <cell r="B128" t="str">
            <v>D</v>
          </cell>
          <cell r="C128">
            <v>3.72</v>
          </cell>
        </row>
        <row r="129">
          <cell r="A129" t="str">
            <v>LFP55</v>
          </cell>
          <cell r="B129" t="str">
            <v>D</v>
          </cell>
          <cell r="C129">
            <v>12.28</v>
          </cell>
        </row>
        <row r="130">
          <cell r="A130" t="str">
            <v>LTTK55</v>
          </cell>
          <cell r="B130" t="str">
            <v>D</v>
          </cell>
          <cell r="C130">
            <v>145.59</v>
          </cell>
        </row>
        <row r="131">
          <cell r="A131" t="str">
            <v>AF56</v>
          </cell>
          <cell r="B131" t="str">
            <v>D</v>
          </cell>
          <cell r="C131">
            <v>5.78</v>
          </cell>
        </row>
        <row r="132">
          <cell r="A132" t="str">
            <v>LK56CA</v>
          </cell>
          <cell r="B132" t="str">
            <v>D</v>
          </cell>
          <cell r="C132">
            <v>60.31</v>
          </cell>
        </row>
        <row r="133">
          <cell r="A133" t="str">
            <v>AF59</v>
          </cell>
          <cell r="B133" t="str">
            <v>D</v>
          </cell>
          <cell r="C133">
            <v>3.43</v>
          </cell>
        </row>
        <row r="134">
          <cell r="A134" t="str">
            <v>PH59</v>
          </cell>
          <cell r="B134" t="str">
            <v>A</v>
          </cell>
          <cell r="C134">
            <v>6.59</v>
          </cell>
        </row>
        <row r="135">
          <cell r="A135" t="str">
            <v>L60F</v>
          </cell>
          <cell r="B135" t="str">
            <v>C</v>
          </cell>
          <cell r="C135">
            <v>8.17</v>
          </cell>
        </row>
        <row r="136">
          <cell r="A136" t="str">
            <v>LK60C</v>
          </cell>
          <cell r="B136" t="str">
            <v>D</v>
          </cell>
          <cell r="C136">
            <v>56.1</v>
          </cell>
        </row>
        <row r="137">
          <cell r="A137" t="str">
            <v>L61F</v>
          </cell>
          <cell r="B137" t="str">
            <v>C</v>
          </cell>
          <cell r="C137">
            <v>10.06</v>
          </cell>
        </row>
        <row r="138">
          <cell r="A138" t="str">
            <v>AF62</v>
          </cell>
          <cell r="B138" t="str">
            <v>D</v>
          </cell>
          <cell r="C138">
            <v>4.2</v>
          </cell>
        </row>
        <row r="139">
          <cell r="A139" t="str">
            <v>AF63</v>
          </cell>
          <cell r="B139" t="str">
            <v>D</v>
          </cell>
          <cell r="C139">
            <v>2.85</v>
          </cell>
        </row>
        <row r="140">
          <cell r="A140" t="str">
            <v>LAF64</v>
          </cell>
          <cell r="B140" t="str">
            <v>D</v>
          </cell>
          <cell r="C140">
            <v>126.75</v>
          </cell>
        </row>
        <row r="141">
          <cell r="A141" t="str">
            <v>LAF65</v>
          </cell>
          <cell r="B141" t="str">
            <v>D</v>
          </cell>
          <cell r="C141">
            <v>12.36</v>
          </cell>
        </row>
        <row r="142">
          <cell r="A142" t="str">
            <v>LAF66</v>
          </cell>
          <cell r="B142" t="str">
            <v>D</v>
          </cell>
          <cell r="C142">
            <v>36.31</v>
          </cell>
        </row>
        <row r="143">
          <cell r="A143" t="str">
            <v>PC68</v>
          </cell>
          <cell r="B143" t="str">
            <v>A</v>
          </cell>
          <cell r="C143">
            <v>3.09</v>
          </cell>
        </row>
        <row r="144">
          <cell r="A144" t="str">
            <v>LK69C</v>
          </cell>
          <cell r="B144" t="str">
            <v>D</v>
          </cell>
          <cell r="C144">
            <v>58.08</v>
          </cell>
        </row>
        <row r="145">
          <cell r="A145" t="str">
            <v>AF70</v>
          </cell>
          <cell r="B145" t="str">
            <v>D</v>
          </cell>
          <cell r="C145">
            <v>10.36</v>
          </cell>
        </row>
        <row r="146">
          <cell r="A146" t="str">
            <v>LP70V</v>
          </cell>
          <cell r="B146" t="str">
            <v>D</v>
          </cell>
          <cell r="C146">
            <v>10.210000000000001</v>
          </cell>
        </row>
        <row r="147">
          <cell r="A147" t="str">
            <v>P70</v>
          </cell>
          <cell r="B147" t="str">
            <v>D</v>
          </cell>
          <cell r="C147">
            <v>14.67</v>
          </cell>
        </row>
        <row r="148">
          <cell r="A148" t="str">
            <v>PC70</v>
          </cell>
          <cell r="B148" t="str">
            <v>D</v>
          </cell>
          <cell r="C148">
            <v>3.47</v>
          </cell>
        </row>
        <row r="149">
          <cell r="A149" t="str">
            <v>LAF71</v>
          </cell>
          <cell r="B149" t="str">
            <v>D</v>
          </cell>
          <cell r="C149">
            <v>46.96</v>
          </cell>
        </row>
        <row r="150">
          <cell r="A150" t="str">
            <v>P71</v>
          </cell>
          <cell r="B150" t="str">
            <v>D</v>
          </cell>
          <cell r="C150">
            <v>13.47</v>
          </cell>
        </row>
        <row r="151">
          <cell r="A151" t="str">
            <v>P72</v>
          </cell>
          <cell r="B151" t="str">
            <v>D</v>
          </cell>
          <cell r="C151">
            <v>10.9</v>
          </cell>
        </row>
        <row r="152">
          <cell r="A152" t="str">
            <v>AF73</v>
          </cell>
          <cell r="B152" t="str">
            <v>D</v>
          </cell>
          <cell r="C152">
            <v>3.99</v>
          </cell>
        </row>
        <row r="153">
          <cell r="A153" t="str">
            <v>LAF73</v>
          </cell>
          <cell r="B153" t="str">
            <v>D</v>
          </cell>
          <cell r="C153">
            <v>14.36</v>
          </cell>
        </row>
        <row r="154">
          <cell r="A154" t="str">
            <v>PC73</v>
          </cell>
          <cell r="B154" t="str">
            <v>D</v>
          </cell>
          <cell r="C154">
            <v>3.72</v>
          </cell>
        </row>
        <row r="155">
          <cell r="A155" t="str">
            <v>AF74A</v>
          </cell>
          <cell r="B155" t="str">
            <v>D</v>
          </cell>
          <cell r="C155">
            <v>9.61</v>
          </cell>
        </row>
        <row r="156">
          <cell r="A156" t="str">
            <v>PC74</v>
          </cell>
          <cell r="B156" t="str">
            <v>D</v>
          </cell>
          <cell r="C156">
            <v>3.05</v>
          </cell>
        </row>
        <row r="157">
          <cell r="A157" t="str">
            <v>.75N1-12A</v>
          </cell>
          <cell r="B157" t="str">
            <v>N</v>
          </cell>
          <cell r="C157">
            <v>16.399999999999999</v>
          </cell>
        </row>
        <row r="158">
          <cell r="A158" t="str">
            <v>LAF75</v>
          </cell>
          <cell r="B158" t="str">
            <v>D</v>
          </cell>
          <cell r="C158">
            <v>23.89</v>
          </cell>
        </row>
        <row r="159">
          <cell r="A159" t="str">
            <v>PC75</v>
          </cell>
          <cell r="B159" t="str">
            <v>D</v>
          </cell>
          <cell r="C159">
            <v>3.72</v>
          </cell>
        </row>
        <row r="160">
          <cell r="A160" t="str">
            <v>P76</v>
          </cell>
          <cell r="B160" t="str">
            <v>D</v>
          </cell>
          <cell r="C160">
            <v>11.23</v>
          </cell>
        </row>
        <row r="161">
          <cell r="A161" t="str">
            <v>PC76</v>
          </cell>
          <cell r="B161" t="str">
            <v>D</v>
          </cell>
          <cell r="C161">
            <v>4.4000000000000004</v>
          </cell>
        </row>
        <row r="162">
          <cell r="A162" t="str">
            <v>LK78D</v>
          </cell>
          <cell r="B162" t="str">
            <v>D</v>
          </cell>
          <cell r="C162">
            <v>76.89</v>
          </cell>
        </row>
        <row r="163">
          <cell r="A163" t="str">
            <v>LP78</v>
          </cell>
          <cell r="B163" t="str">
            <v>D</v>
          </cell>
          <cell r="C163">
            <v>31.43</v>
          </cell>
        </row>
        <row r="164">
          <cell r="A164" t="str">
            <v>PC79</v>
          </cell>
          <cell r="B164" t="str">
            <v>D</v>
          </cell>
          <cell r="C164">
            <v>3.72</v>
          </cell>
        </row>
        <row r="165">
          <cell r="A165" t="str">
            <v>AF80</v>
          </cell>
          <cell r="B165" t="str">
            <v>D</v>
          </cell>
          <cell r="C165">
            <v>5.0999999999999996</v>
          </cell>
        </row>
        <row r="166">
          <cell r="A166" t="str">
            <v>PC80</v>
          </cell>
          <cell r="B166" t="str">
            <v>D</v>
          </cell>
          <cell r="C166">
            <v>4.03</v>
          </cell>
        </row>
        <row r="167">
          <cell r="A167" t="str">
            <v>PC81</v>
          </cell>
          <cell r="B167" t="str">
            <v>D</v>
          </cell>
          <cell r="C167">
            <v>3.72</v>
          </cell>
        </row>
        <row r="168">
          <cell r="A168" t="str">
            <v>AF82</v>
          </cell>
          <cell r="B168" t="str">
            <v>D</v>
          </cell>
          <cell r="C168">
            <v>2.14</v>
          </cell>
        </row>
        <row r="169">
          <cell r="A169" t="str">
            <v>PC82</v>
          </cell>
          <cell r="B169" t="str">
            <v>D</v>
          </cell>
          <cell r="C169">
            <v>10.1</v>
          </cell>
        </row>
        <row r="170">
          <cell r="A170" t="str">
            <v>AF83</v>
          </cell>
          <cell r="B170" t="str">
            <v>D</v>
          </cell>
          <cell r="C170">
            <v>12.94</v>
          </cell>
        </row>
        <row r="171">
          <cell r="A171" t="str">
            <v>PC83</v>
          </cell>
          <cell r="B171" t="str">
            <v>D</v>
          </cell>
          <cell r="C171">
            <v>3.72</v>
          </cell>
        </row>
        <row r="172">
          <cell r="A172" t="str">
            <v>LK84C</v>
          </cell>
          <cell r="B172" t="str">
            <v>D</v>
          </cell>
          <cell r="C172">
            <v>50.05</v>
          </cell>
        </row>
        <row r="173">
          <cell r="A173" t="str">
            <v>PC84</v>
          </cell>
          <cell r="B173" t="str">
            <v>B</v>
          </cell>
          <cell r="C173">
            <v>3.21</v>
          </cell>
        </row>
        <row r="174">
          <cell r="A174" t="str">
            <v>AF85</v>
          </cell>
          <cell r="B174" t="str">
            <v>D</v>
          </cell>
          <cell r="C174">
            <v>2.54</v>
          </cell>
        </row>
        <row r="175">
          <cell r="A175" t="str">
            <v>PC85</v>
          </cell>
          <cell r="B175" t="str">
            <v>D</v>
          </cell>
          <cell r="C175">
            <v>3.38</v>
          </cell>
        </row>
        <row r="176">
          <cell r="A176" t="str">
            <v>AF86</v>
          </cell>
          <cell r="B176" t="str">
            <v>D</v>
          </cell>
          <cell r="C176">
            <v>3.06</v>
          </cell>
        </row>
        <row r="177">
          <cell r="A177" t="str">
            <v>PC86</v>
          </cell>
          <cell r="B177" t="str">
            <v>D</v>
          </cell>
          <cell r="C177">
            <v>3.96</v>
          </cell>
        </row>
        <row r="178">
          <cell r="A178" t="str">
            <v>PC87</v>
          </cell>
          <cell r="B178" t="str">
            <v>D</v>
          </cell>
          <cell r="C178">
            <v>3.04</v>
          </cell>
        </row>
        <row r="179">
          <cell r="A179" t="str">
            <v>AF88</v>
          </cell>
          <cell r="B179" t="str">
            <v>D</v>
          </cell>
          <cell r="C179">
            <v>3.2</v>
          </cell>
        </row>
        <row r="180">
          <cell r="A180" t="str">
            <v>PC88</v>
          </cell>
          <cell r="B180" t="str">
            <v>D</v>
          </cell>
          <cell r="C180">
            <v>2.4500000000000002</v>
          </cell>
        </row>
        <row r="181">
          <cell r="A181" t="str">
            <v>AF89</v>
          </cell>
          <cell r="B181" t="str">
            <v>D</v>
          </cell>
          <cell r="C181">
            <v>3.77</v>
          </cell>
        </row>
        <row r="182">
          <cell r="A182" t="str">
            <v>PC89</v>
          </cell>
          <cell r="B182" t="str">
            <v>D</v>
          </cell>
          <cell r="C182">
            <v>4.0999999999999996</v>
          </cell>
        </row>
        <row r="183">
          <cell r="A183" t="str">
            <v>LK90CA</v>
          </cell>
          <cell r="B183" t="str">
            <v>D</v>
          </cell>
          <cell r="C183">
            <v>47.17</v>
          </cell>
        </row>
        <row r="184">
          <cell r="A184" t="str">
            <v>P90</v>
          </cell>
          <cell r="B184" t="str">
            <v>D</v>
          </cell>
          <cell r="C184">
            <v>26.69</v>
          </cell>
        </row>
        <row r="185">
          <cell r="A185" t="str">
            <v>PC90</v>
          </cell>
          <cell r="B185" t="str">
            <v>D</v>
          </cell>
          <cell r="C185">
            <v>3.92</v>
          </cell>
        </row>
        <row r="186">
          <cell r="A186" t="str">
            <v>AF91</v>
          </cell>
          <cell r="B186" t="str">
            <v>D</v>
          </cell>
          <cell r="C186">
            <v>23.96</v>
          </cell>
        </row>
        <row r="187">
          <cell r="A187" t="str">
            <v>L91F</v>
          </cell>
          <cell r="B187" t="str">
            <v>D</v>
          </cell>
          <cell r="C187">
            <v>15.49</v>
          </cell>
        </row>
        <row r="188">
          <cell r="A188" t="str">
            <v>PC91</v>
          </cell>
          <cell r="B188" t="str">
            <v>D</v>
          </cell>
          <cell r="C188">
            <v>4.08</v>
          </cell>
        </row>
        <row r="189">
          <cell r="A189" t="str">
            <v>AF92</v>
          </cell>
          <cell r="B189" t="str">
            <v>D</v>
          </cell>
          <cell r="C189">
            <v>9.2200000000000006</v>
          </cell>
        </row>
        <row r="190">
          <cell r="A190" t="str">
            <v>LP92HD</v>
          </cell>
          <cell r="B190" t="str">
            <v>D</v>
          </cell>
          <cell r="C190">
            <v>15.37</v>
          </cell>
        </row>
        <row r="191">
          <cell r="A191" t="str">
            <v>P92</v>
          </cell>
          <cell r="B191" t="str">
            <v>D</v>
          </cell>
          <cell r="C191">
            <v>12.63</v>
          </cell>
        </row>
        <row r="192">
          <cell r="A192" t="str">
            <v>L93FP</v>
          </cell>
          <cell r="B192" t="str">
            <v>D</v>
          </cell>
          <cell r="C192">
            <v>23.34</v>
          </cell>
        </row>
        <row r="193">
          <cell r="A193" t="str">
            <v>PC93</v>
          </cell>
          <cell r="B193" t="str">
            <v>D</v>
          </cell>
          <cell r="C193">
            <v>3.37</v>
          </cell>
        </row>
        <row r="194">
          <cell r="A194" t="str">
            <v>AF94</v>
          </cell>
          <cell r="B194" t="str">
            <v>D</v>
          </cell>
          <cell r="C194">
            <v>8.18</v>
          </cell>
        </row>
        <row r="195">
          <cell r="A195" t="str">
            <v>PC94</v>
          </cell>
          <cell r="B195" t="str">
            <v>D</v>
          </cell>
          <cell r="C195">
            <v>3.7</v>
          </cell>
        </row>
        <row r="196">
          <cell r="A196" t="str">
            <v>AF95</v>
          </cell>
          <cell r="B196" t="str">
            <v>D</v>
          </cell>
          <cell r="C196">
            <v>5.43</v>
          </cell>
        </row>
        <row r="197">
          <cell r="A197" t="str">
            <v>AF96</v>
          </cell>
          <cell r="B197" t="str">
            <v>D</v>
          </cell>
          <cell r="C197">
            <v>9.6300000000000008</v>
          </cell>
        </row>
        <row r="198">
          <cell r="A198" t="str">
            <v>LK96CA</v>
          </cell>
          <cell r="B198" t="str">
            <v>D</v>
          </cell>
          <cell r="C198">
            <v>50.53</v>
          </cell>
        </row>
        <row r="199">
          <cell r="A199" t="str">
            <v>AF97</v>
          </cell>
          <cell r="B199" t="str">
            <v>D</v>
          </cell>
          <cell r="C199">
            <v>7.47</v>
          </cell>
        </row>
        <row r="200">
          <cell r="A200" t="str">
            <v>PC97</v>
          </cell>
          <cell r="B200" t="str">
            <v>D</v>
          </cell>
          <cell r="C200">
            <v>3.37</v>
          </cell>
        </row>
        <row r="201">
          <cell r="A201" t="str">
            <v>FT100</v>
          </cell>
          <cell r="B201" t="str">
            <v>D</v>
          </cell>
          <cell r="C201">
            <v>19.14</v>
          </cell>
        </row>
        <row r="202">
          <cell r="A202" t="str">
            <v>AF101</v>
          </cell>
          <cell r="B202" t="str">
            <v>D</v>
          </cell>
          <cell r="C202">
            <v>8.8800000000000008</v>
          </cell>
        </row>
        <row r="203">
          <cell r="A203" t="str">
            <v>PC101</v>
          </cell>
          <cell r="B203" t="str">
            <v>D</v>
          </cell>
          <cell r="C203">
            <v>4.03</v>
          </cell>
        </row>
        <row r="204">
          <cell r="A204" t="str">
            <v>AF102</v>
          </cell>
          <cell r="B204" t="str">
            <v>D</v>
          </cell>
          <cell r="C204">
            <v>10.44</v>
          </cell>
        </row>
        <row r="205">
          <cell r="A205" t="str">
            <v>PC102</v>
          </cell>
          <cell r="B205" t="str">
            <v>D</v>
          </cell>
          <cell r="C205">
            <v>3.29</v>
          </cell>
        </row>
        <row r="206">
          <cell r="A206" t="str">
            <v>AF103</v>
          </cell>
          <cell r="B206" t="str">
            <v>D</v>
          </cell>
          <cell r="C206">
            <v>11.53</v>
          </cell>
        </row>
        <row r="207">
          <cell r="A207" t="str">
            <v>PC103</v>
          </cell>
          <cell r="B207" t="str">
            <v>D</v>
          </cell>
          <cell r="C207">
            <v>3.18</v>
          </cell>
        </row>
        <row r="208">
          <cell r="A208" t="str">
            <v>AF104</v>
          </cell>
          <cell r="B208" t="str">
            <v>D</v>
          </cell>
          <cell r="C208">
            <v>6.75</v>
          </cell>
        </row>
        <row r="209">
          <cell r="A209" t="str">
            <v>PC104</v>
          </cell>
          <cell r="B209" t="str">
            <v>D</v>
          </cell>
          <cell r="C209">
            <v>3.45</v>
          </cell>
        </row>
        <row r="210">
          <cell r="A210" t="str">
            <v>AF105A</v>
          </cell>
          <cell r="B210" t="str">
            <v>D</v>
          </cell>
          <cell r="C210">
            <v>12.12</v>
          </cell>
        </row>
        <row r="211">
          <cell r="A211" t="str">
            <v>PC105</v>
          </cell>
          <cell r="B211" t="str">
            <v>D</v>
          </cell>
          <cell r="C211">
            <v>3.74</v>
          </cell>
        </row>
        <row r="212">
          <cell r="A212" t="str">
            <v>P106</v>
          </cell>
          <cell r="B212" t="str">
            <v>D</v>
          </cell>
          <cell r="C212">
            <v>14.36</v>
          </cell>
        </row>
        <row r="213">
          <cell r="A213" t="str">
            <v>LK107M</v>
          </cell>
          <cell r="B213" t="str">
            <v>D</v>
          </cell>
          <cell r="C213">
            <v>94.75</v>
          </cell>
        </row>
        <row r="214">
          <cell r="A214" t="str">
            <v>PC107</v>
          </cell>
          <cell r="B214" t="str">
            <v>D</v>
          </cell>
          <cell r="C214">
            <v>4.57</v>
          </cell>
        </row>
        <row r="215">
          <cell r="A215" t="str">
            <v>PC108</v>
          </cell>
          <cell r="B215" t="str">
            <v>D</v>
          </cell>
          <cell r="C215">
            <v>3.24</v>
          </cell>
        </row>
        <row r="216">
          <cell r="A216" t="str">
            <v>AF109</v>
          </cell>
          <cell r="B216" t="str">
            <v>C</v>
          </cell>
          <cell r="C216">
            <v>8.9700000000000006</v>
          </cell>
        </row>
        <row r="217">
          <cell r="A217" t="str">
            <v>LK109M</v>
          </cell>
          <cell r="B217" t="str">
            <v>D</v>
          </cell>
          <cell r="C217">
            <v>87.25</v>
          </cell>
        </row>
        <row r="218">
          <cell r="A218" t="str">
            <v>LK110C</v>
          </cell>
          <cell r="B218" t="str">
            <v>D</v>
          </cell>
          <cell r="C218">
            <v>48.49</v>
          </cell>
        </row>
        <row r="219">
          <cell r="A219" t="str">
            <v>T110</v>
          </cell>
          <cell r="B219" t="str">
            <v>D</v>
          </cell>
          <cell r="C219">
            <v>11.03</v>
          </cell>
        </row>
        <row r="220">
          <cell r="A220" t="str">
            <v>AF111</v>
          </cell>
          <cell r="B220" t="str">
            <v>D</v>
          </cell>
          <cell r="C220">
            <v>12.52</v>
          </cell>
        </row>
        <row r="221">
          <cell r="A221" t="str">
            <v>AF112</v>
          </cell>
          <cell r="B221" t="str">
            <v>D</v>
          </cell>
          <cell r="C221">
            <v>22.24</v>
          </cell>
        </row>
        <row r="222">
          <cell r="A222" t="str">
            <v>LP112</v>
          </cell>
          <cell r="B222" t="str">
            <v>D</v>
          </cell>
          <cell r="C222">
            <v>12.31</v>
          </cell>
        </row>
        <row r="223">
          <cell r="A223" t="str">
            <v>PC112</v>
          </cell>
          <cell r="B223" t="str">
            <v>D</v>
          </cell>
          <cell r="C223">
            <v>4.78</v>
          </cell>
        </row>
        <row r="224">
          <cell r="A224" t="str">
            <v>T112</v>
          </cell>
          <cell r="B224" t="str">
            <v>D</v>
          </cell>
          <cell r="C224">
            <v>23.82</v>
          </cell>
        </row>
        <row r="225">
          <cell r="A225" t="str">
            <v>AF113A</v>
          </cell>
          <cell r="B225" t="str">
            <v>D</v>
          </cell>
          <cell r="C225">
            <v>8.81</v>
          </cell>
        </row>
        <row r="226">
          <cell r="A226" t="str">
            <v>P114</v>
          </cell>
          <cell r="B226" t="str">
            <v>D</v>
          </cell>
          <cell r="C226">
            <v>13.69</v>
          </cell>
        </row>
        <row r="227">
          <cell r="A227" t="str">
            <v>PC114</v>
          </cell>
          <cell r="B227" t="str">
            <v>D</v>
          </cell>
          <cell r="C227">
            <v>3.22</v>
          </cell>
        </row>
        <row r="228">
          <cell r="A228" t="str">
            <v>AF115</v>
          </cell>
          <cell r="B228" t="str">
            <v>D</v>
          </cell>
          <cell r="C228">
            <v>9.6999999999999993</v>
          </cell>
        </row>
        <row r="229">
          <cell r="A229" t="str">
            <v>G115</v>
          </cell>
          <cell r="B229" t="str">
            <v>B</v>
          </cell>
          <cell r="C229">
            <v>3.85</v>
          </cell>
        </row>
        <row r="230">
          <cell r="A230" t="str">
            <v>LK115I</v>
          </cell>
          <cell r="B230" t="str">
            <v>D</v>
          </cell>
          <cell r="C230">
            <v>60.14</v>
          </cell>
        </row>
        <row r="231">
          <cell r="A231" t="str">
            <v>PC115</v>
          </cell>
          <cell r="B231" t="str">
            <v>D</v>
          </cell>
          <cell r="C231">
            <v>3.32</v>
          </cell>
        </row>
        <row r="232">
          <cell r="A232" t="str">
            <v>T115</v>
          </cell>
          <cell r="B232" t="str">
            <v>D</v>
          </cell>
          <cell r="C232">
            <v>10.09</v>
          </cell>
        </row>
        <row r="233">
          <cell r="A233" t="str">
            <v>AF116</v>
          </cell>
          <cell r="B233" t="str">
            <v>D</v>
          </cell>
          <cell r="C233">
            <v>15.84</v>
          </cell>
        </row>
        <row r="234">
          <cell r="A234" t="str">
            <v>PC116</v>
          </cell>
          <cell r="B234" t="str">
            <v>D</v>
          </cell>
          <cell r="C234">
            <v>3.72</v>
          </cell>
        </row>
        <row r="235">
          <cell r="A235" t="str">
            <v>PC117</v>
          </cell>
          <cell r="B235" t="str">
            <v>D</v>
          </cell>
          <cell r="C235">
            <v>3.59</v>
          </cell>
        </row>
        <row r="236">
          <cell r="A236" t="str">
            <v>AF118</v>
          </cell>
          <cell r="B236" t="str">
            <v>D</v>
          </cell>
          <cell r="C236">
            <v>9.16</v>
          </cell>
        </row>
        <row r="237">
          <cell r="A237" t="str">
            <v>PC118</v>
          </cell>
          <cell r="B237" t="str">
            <v>D</v>
          </cell>
          <cell r="C237">
            <v>3.23</v>
          </cell>
        </row>
        <row r="238">
          <cell r="A238" t="str">
            <v>P119</v>
          </cell>
          <cell r="B238" t="str">
            <v>D</v>
          </cell>
          <cell r="C238">
            <v>12.71</v>
          </cell>
        </row>
        <row r="239">
          <cell r="A239" t="str">
            <v>PC119</v>
          </cell>
          <cell r="B239" t="str">
            <v>D</v>
          </cell>
          <cell r="C239">
            <v>4.13</v>
          </cell>
        </row>
        <row r="240">
          <cell r="A240" t="str">
            <v>AF120</v>
          </cell>
          <cell r="B240" t="str">
            <v>D</v>
          </cell>
          <cell r="C240">
            <v>12.47</v>
          </cell>
        </row>
        <row r="241">
          <cell r="A241" t="str">
            <v>LAF120A</v>
          </cell>
          <cell r="B241" t="str">
            <v>D</v>
          </cell>
          <cell r="C241">
            <v>46.12</v>
          </cell>
        </row>
        <row r="242">
          <cell r="A242" t="str">
            <v>AF121</v>
          </cell>
          <cell r="B242" t="str">
            <v>D</v>
          </cell>
          <cell r="C242">
            <v>10.39</v>
          </cell>
        </row>
        <row r="243">
          <cell r="A243" t="str">
            <v>LAF121</v>
          </cell>
          <cell r="B243" t="str">
            <v>D</v>
          </cell>
          <cell r="C243">
            <v>12.89</v>
          </cell>
        </row>
        <row r="244">
          <cell r="A244" t="str">
            <v>PC121</v>
          </cell>
          <cell r="B244" t="str">
            <v>D</v>
          </cell>
          <cell r="C244">
            <v>3.34</v>
          </cell>
        </row>
        <row r="245">
          <cell r="A245" t="str">
            <v>T121</v>
          </cell>
          <cell r="B245" t="str">
            <v>D</v>
          </cell>
          <cell r="C245">
            <v>9.81</v>
          </cell>
        </row>
        <row r="246">
          <cell r="A246" t="str">
            <v>LAF122</v>
          </cell>
          <cell r="B246" t="str">
            <v>D</v>
          </cell>
          <cell r="C246">
            <v>14.07</v>
          </cell>
        </row>
        <row r="247">
          <cell r="A247" t="str">
            <v>P122</v>
          </cell>
          <cell r="B247" t="str">
            <v>D</v>
          </cell>
          <cell r="C247">
            <v>14.74</v>
          </cell>
        </row>
        <row r="248">
          <cell r="A248" t="str">
            <v>PC122</v>
          </cell>
          <cell r="B248" t="str">
            <v>D</v>
          </cell>
          <cell r="C248">
            <v>3.09</v>
          </cell>
        </row>
        <row r="249">
          <cell r="A249" t="str">
            <v>G124</v>
          </cell>
          <cell r="B249" t="str">
            <v>D</v>
          </cell>
          <cell r="C249">
            <v>7.28</v>
          </cell>
        </row>
        <row r="250">
          <cell r="A250" t="str">
            <v>LK124S</v>
          </cell>
          <cell r="B250" t="str">
            <v>D</v>
          </cell>
          <cell r="C250">
            <v>13.67</v>
          </cell>
        </row>
        <row r="251">
          <cell r="A251" t="str">
            <v>PC124</v>
          </cell>
          <cell r="B251" t="str">
            <v>D</v>
          </cell>
          <cell r="C251">
            <v>3.29</v>
          </cell>
        </row>
        <row r="252">
          <cell r="A252" t="str">
            <v>T124</v>
          </cell>
          <cell r="B252" t="str">
            <v>D</v>
          </cell>
          <cell r="C252">
            <v>12.63</v>
          </cell>
        </row>
        <row r="253">
          <cell r="A253" t="str">
            <v>AF126</v>
          </cell>
          <cell r="B253" t="str">
            <v>D</v>
          </cell>
          <cell r="C253">
            <v>9.17</v>
          </cell>
        </row>
        <row r="254">
          <cell r="A254" t="str">
            <v>PC126</v>
          </cell>
          <cell r="B254" t="str">
            <v>D</v>
          </cell>
          <cell r="C254">
            <v>3.09</v>
          </cell>
        </row>
        <row r="255">
          <cell r="A255" t="str">
            <v>AF127</v>
          </cell>
          <cell r="B255" t="str">
            <v>D</v>
          </cell>
          <cell r="C255">
            <v>11.05</v>
          </cell>
        </row>
        <row r="256">
          <cell r="A256" t="str">
            <v>P127</v>
          </cell>
          <cell r="B256" t="str">
            <v>D</v>
          </cell>
          <cell r="C256">
            <v>10.52</v>
          </cell>
        </row>
        <row r="257">
          <cell r="A257" t="str">
            <v>PC127</v>
          </cell>
          <cell r="B257" t="str">
            <v>D</v>
          </cell>
          <cell r="C257">
            <v>6.84</v>
          </cell>
        </row>
        <row r="258">
          <cell r="A258" t="str">
            <v>AF128</v>
          </cell>
          <cell r="B258" t="str">
            <v>D</v>
          </cell>
          <cell r="C258">
            <v>16.05</v>
          </cell>
        </row>
        <row r="259">
          <cell r="A259" t="str">
            <v>P128</v>
          </cell>
          <cell r="B259" t="str">
            <v>D</v>
          </cell>
          <cell r="C259">
            <v>15.2</v>
          </cell>
        </row>
        <row r="260">
          <cell r="A260" t="str">
            <v>PC128</v>
          </cell>
          <cell r="B260" t="str">
            <v>D</v>
          </cell>
          <cell r="C260">
            <v>3.5</v>
          </cell>
        </row>
        <row r="261">
          <cell r="A261" t="str">
            <v>AF129</v>
          </cell>
          <cell r="B261" t="str">
            <v>D</v>
          </cell>
          <cell r="C261">
            <v>7.42</v>
          </cell>
        </row>
        <row r="262">
          <cell r="A262" t="str">
            <v>PC129</v>
          </cell>
          <cell r="B262" t="str">
            <v>D</v>
          </cell>
          <cell r="C262">
            <v>3.09</v>
          </cell>
        </row>
        <row r="263">
          <cell r="A263" t="str">
            <v>AF130</v>
          </cell>
          <cell r="B263" t="str">
            <v>D</v>
          </cell>
          <cell r="C263">
            <v>8.82</v>
          </cell>
        </row>
        <row r="264">
          <cell r="A264" t="str">
            <v>LAF130</v>
          </cell>
          <cell r="B264" t="str">
            <v>D</v>
          </cell>
          <cell r="C264">
            <v>135.25</v>
          </cell>
        </row>
        <row r="265">
          <cell r="A265" t="str">
            <v>PC130</v>
          </cell>
          <cell r="B265" t="str">
            <v>D</v>
          </cell>
          <cell r="C265">
            <v>7.54</v>
          </cell>
        </row>
        <row r="266">
          <cell r="A266" t="str">
            <v>AF131</v>
          </cell>
          <cell r="B266" t="str">
            <v>D</v>
          </cell>
          <cell r="C266">
            <v>12.25</v>
          </cell>
        </row>
        <row r="267">
          <cell r="A267" t="str">
            <v>LAF131</v>
          </cell>
          <cell r="B267" t="str">
            <v>D</v>
          </cell>
          <cell r="C267">
            <v>28.45</v>
          </cell>
        </row>
        <row r="268">
          <cell r="A268" t="str">
            <v>P131</v>
          </cell>
          <cell r="B268" t="str">
            <v>D</v>
          </cell>
          <cell r="C268">
            <v>29.47</v>
          </cell>
        </row>
        <row r="269">
          <cell r="A269" t="str">
            <v>AF132</v>
          </cell>
          <cell r="B269" t="str">
            <v>D</v>
          </cell>
          <cell r="C269">
            <v>7.96</v>
          </cell>
        </row>
        <row r="270">
          <cell r="A270" t="str">
            <v>LP132</v>
          </cell>
          <cell r="B270" t="str">
            <v>C</v>
          </cell>
          <cell r="C270">
            <v>12.14</v>
          </cell>
        </row>
        <row r="271">
          <cell r="A271" t="str">
            <v>AF133</v>
          </cell>
          <cell r="B271" t="str">
            <v>D</v>
          </cell>
          <cell r="C271">
            <v>8.5</v>
          </cell>
        </row>
        <row r="272">
          <cell r="A272" t="str">
            <v>PC133</v>
          </cell>
          <cell r="B272" t="str">
            <v>D</v>
          </cell>
          <cell r="C272">
            <v>3.62</v>
          </cell>
        </row>
        <row r="273">
          <cell r="A273" t="str">
            <v>T133</v>
          </cell>
          <cell r="B273" t="str">
            <v>D</v>
          </cell>
          <cell r="C273">
            <v>15.23</v>
          </cell>
        </row>
        <row r="274">
          <cell r="A274" t="str">
            <v>PC134</v>
          </cell>
          <cell r="B274" t="str">
            <v>D</v>
          </cell>
          <cell r="C274">
            <v>3.72</v>
          </cell>
        </row>
        <row r="275">
          <cell r="A275" t="str">
            <v>T134</v>
          </cell>
          <cell r="B275" t="str">
            <v>D</v>
          </cell>
          <cell r="C275">
            <v>13.98</v>
          </cell>
        </row>
        <row r="276">
          <cell r="A276" t="str">
            <v>AF135</v>
          </cell>
          <cell r="B276" t="str">
            <v>D</v>
          </cell>
          <cell r="C276">
            <v>8.61</v>
          </cell>
        </row>
        <row r="277">
          <cell r="A277" t="str">
            <v>LP135</v>
          </cell>
          <cell r="B277" t="str">
            <v>D</v>
          </cell>
          <cell r="C277">
            <v>55.18</v>
          </cell>
        </row>
        <row r="278">
          <cell r="A278" t="str">
            <v>T135</v>
          </cell>
          <cell r="B278" t="str">
            <v>D</v>
          </cell>
          <cell r="C278">
            <v>16.7</v>
          </cell>
        </row>
        <row r="279">
          <cell r="A279" t="str">
            <v>PC136</v>
          </cell>
          <cell r="B279" t="str">
            <v>D</v>
          </cell>
          <cell r="C279">
            <v>5.29</v>
          </cell>
        </row>
        <row r="280">
          <cell r="A280" t="str">
            <v>AF137</v>
          </cell>
          <cell r="B280" t="str">
            <v>D</v>
          </cell>
          <cell r="C280">
            <v>18.920000000000002</v>
          </cell>
        </row>
        <row r="281">
          <cell r="A281" t="str">
            <v>P137</v>
          </cell>
          <cell r="B281" t="str">
            <v>D</v>
          </cell>
          <cell r="C281">
            <v>13.06</v>
          </cell>
        </row>
        <row r="282">
          <cell r="A282" t="str">
            <v>PC137</v>
          </cell>
          <cell r="B282" t="str">
            <v>D</v>
          </cell>
          <cell r="C282">
            <v>3.72</v>
          </cell>
        </row>
        <row r="283">
          <cell r="A283" t="str">
            <v>P138</v>
          </cell>
          <cell r="B283" t="str">
            <v>D</v>
          </cell>
          <cell r="C283">
            <v>14.03</v>
          </cell>
        </row>
        <row r="284">
          <cell r="A284" t="str">
            <v>PC138</v>
          </cell>
          <cell r="B284" t="str">
            <v>D</v>
          </cell>
          <cell r="C284">
            <v>3.19</v>
          </cell>
        </row>
        <row r="285">
          <cell r="A285" t="str">
            <v>T138</v>
          </cell>
          <cell r="B285" t="str">
            <v>D</v>
          </cell>
          <cell r="C285">
            <v>8.8699999999999992</v>
          </cell>
        </row>
        <row r="286">
          <cell r="A286" t="str">
            <v>AF139</v>
          </cell>
          <cell r="B286" t="str">
            <v>D</v>
          </cell>
          <cell r="C286">
            <v>10.01</v>
          </cell>
        </row>
        <row r="287">
          <cell r="A287" t="str">
            <v>PC139</v>
          </cell>
          <cell r="B287" t="str">
            <v>D</v>
          </cell>
          <cell r="C287">
            <v>3.94</v>
          </cell>
        </row>
        <row r="288">
          <cell r="A288" t="str">
            <v>LAFV140A</v>
          </cell>
          <cell r="B288" t="str">
            <v>D</v>
          </cell>
          <cell r="C288">
            <v>52.34</v>
          </cell>
        </row>
        <row r="289">
          <cell r="A289" t="str">
            <v>PC140</v>
          </cell>
          <cell r="B289" t="str">
            <v>D</v>
          </cell>
          <cell r="C289">
            <v>8.5299999999999994</v>
          </cell>
        </row>
        <row r="290">
          <cell r="A290" t="str">
            <v>T140</v>
          </cell>
          <cell r="B290" t="str">
            <v>D</v>
          </cell>
          <cell r="C290">
            <v>18.97</v>
          </cell>
        </row>
        <row r="291">
          <cell r="A291" t="str">
            <v>AF141</v>
          </cell>
          <cell r="B291" t="str">
            <v>D</v>
          </cell>
          <cell r="C291">
            <v>13.39</v>
          </cell>
        </row>
        <row r="292">
          <cell r="A292" t="str">
            <v>P141</v>
          </cell>
          <cell r="B292" t="str">
            <v>D</v>
          </cell>
          <cell r="C292">
            <v>9.5299999999999994</v>
          </cell>
        </row>
        <row r="293">
          <cell r="A293" t="str">
            <v>T141</v>
          </cell>
          <cell r="B293" t="str">
            <v>D</v>
          </cell>
          <cell r="C293">
            <v>12.72</v>
          </cell>
        </row>
        <row r="294">
          <cell r="A294" t="str">
            <v>AF142</v>
          </cell>
          <cell r="B294" t="str">
            <v>D</v>
          </cell>
          <cell r="C294">
            <v>8.9600000000000009</v>
          </cell>
        </row>
        <row r="295">
          <cell r="A295" t="str">
            <v>LK143C</v>
          </cell>
          <cell r="B295" t="str">
            <v>D</v>
          </cell>
          <cell r="C295">
            <v>60.95</v>
          </cell>
        </row>
        <row r="296">
          <cell r="A296" t="str">
            <v>P144</v>
          </cell>
          <cell r="B296" t="str">
            <v>D</v>
          </cell>
          <cell r="C296">
            <v>9.4</v>
          </cell>
        </row>
        <row r="297">
          <cell r="A297" t="str">
            <v>PC144</v>
          </cell>
          <cell r="B297" t="str">
            <v>D</v>
          </cell>
          <cell r="C297">
            <v>3.21</v>
          </cell>
        </row>
        <row r="298">
          <cell r="A298" t="str">
            <v>T144</v>
          </cell>
          <cell r="B298" t="str">
            <v>D</v>
          </cell>
          <cell r="C298">
            <v>11.61</v>
          </cell>
        </row>
        <row r="299">
          <cell r="A299" t="str">
            <v>G145</v>
          </cell>
          <cell r="B299" t="str">
            <v>B</v>
          </cell>
          <cell r="C299">
            <v>17.149999999999999</v>
          </cell>
        </row>
        <row r="300">
          <cell r="A300" t="str">
            <v>PC145</v>
          </cell>
          <cell r="B300" t="str">
            <v>D</v>
          </cell>
          <cell r="C300">
            <v>3.72</v>
          </cell>
        </row>
        <row r="301">
          <cell r="A301" t="str">
            <v>AF146</v>
          </cell>
          <cell r="B301" t="str">
            <v>D</v>
          </cell>
          <cell r="C301">
            <v>7.67</v>
          </cell>
        </row>
        <row r="302">
          <cell r="A302" t="str">
            <v>LP146</v>
          </cell>
          <cell r="B302" t="str">
            <v>D</v>
          </cell>
          <cell r="C302">
            <v>13.96</v>
          </cell>
        </row>
        <row r="303">
          <cell r="A303" t="str">
            <v>PC146</v>
          </cell>
          <cell r="B303" t="str">
            <v>D</v>
          </cell>
          <cell r="C303">
            <v>3.65</v>
          </cell>
        </row>
        <row r="304">
          <cell r="A304" t="str">
            <v>PC147</v>
          </cell>
          <cell r="B304" t="str">
            <v>D</v>
          </cell>
          <cell r="C304">
            <v>6.76</v>
          </cell>
        </row>
        <row r="305">
          <cell r="A305" t="str">
            <v>T147</v>
          </cell>
          <cell r="B305" t="str">
            <v>D</v>
          </cell>
          <cell r="C305">
            <v>17.61</v>
          </cell>
        </row>
        <row r="306">
          <cell r="A306" t="str">
            <v>AF148</v>
          </cell>
          <cell r="B306" t="str">
            <v>D</v>
          </cell>
          <cell r="C306">
            <v>7.81</v>
          </cell>
        </row>
        <row r="307">
          <cell r="A307" t="str">
            <v>AF149</v>
          </cell>
          <cell r="B307" t="str">
            <v>D</v>
          </cell>
          <cell r="C307">
            <v>10.62</v>
          </cell>
        </row>
        <row r="308">
          <cell r="A308" t="str">
            <v>T149</v>
          </cell>
          <cell r="B308" t="str">
            <v>D</v>
          </cell>
          <cell r="C308">
            <v>14.32</v>
          </cell>
        </row>
        <row r="309">
          <cell r="A309" t="str">
            <v>P150</v>
          </cell>
          <cell r="B309" t="str">
            <v>D</v>
          </cell>
          <cell r="C309">
            <v>11.85</v>
          </cell>
        </row>
        <row r="310">
          <cell r="A310" t="str">
            <v>T150</v>
          </cell>
          <cell r="B310" t="str">
            <v>D</v>
          </cell>
          <cell r="C310">
            <v>10.99</v>
          </cell>
        </row>
        <row r="311">
          <cell r="A311" t="str">
            <v>LP151</v>
          </cell>
          <cell r="B311" t="str">
            <v>D</v>
          </cell>
          <cell r="C311">
            <v>18.03</v>
          </cell>
        </row>
        <row r="312">
          <cell r="A312" t="str">
            <v>T151</v>
          </cell>
          <cell r="B312" t="str">
            <v>D</v>
          </cell>
          <cell r="C312">
            <v>14.42</v>
          </cell>
        </row>
        <row r="313">
          <cell r="A313" t="str">
            <v>LK153D</v>
          </cell>
          <cell r="B313" t="str">
            <v>D</v>
          </cell>
          <cell r="C313">
            <v>83.06</v>
          </cell>
        </row>
        <row r="314">
          <cell r="A314" t="str">
            <v>T153</v>
          </cell>
          <cell r="B314" t="str">
            <v>D</v>
          </cell>
          <cell r="C314">
            <v>61.39</v>
          </cell>
        </row>
        <row r="315">
          <cell r="A315" t="str">
            <v>LK154D</v>
          </cell>
          <cell r="B315" t="str">
            <v>D</v>
          </cell>
          <cell r="C315">
            <v>87.6</v>
          </cell>
        </row>
        <row r="316">
          <cell r="A316" t="str">
            <v>T154</v>
          </cell>
          <cell r="B316" t="str">
            <v>D</v>
          </cell>
          <cell r="C316">
            <v>17.8</v>
          </cell>
        </row>
        <row r="317">
          <cell r="A317" t="str">
            <v>L155F</v>
          </cell>
          <cell r="B317" t="str">
            <v>D</v>
          </cell>
          <cell r="C317">
            <v>22.57</v>
          </cell>
        </row>
        <row r="318">
          <cell r="A318" t="str">
            <v>LP155</v>
          </cell>
          <cell r="B318" t="str">
            <v>D</v>
          </cell>
          <cell r="C318">
            <v>17.34</v>
          </cell>
        </row>
        <row r="319">
          <cell r="A319" t="str">
            <v>T155</v>
          </cell>
          <cell r="B319" t="str">
            <v>D</v>
          </cell>
          <cell r="C319">
            <v>9.3000000000000007</v>
          </cell>
        </row>
        <row r="320">
          <cell r="A320">
            <v>156</v>
          </cell>
          <cell r="B320" t="str">
            <v>D</v>
          </cell>
          <cell r="C320">
            <v>24.07</v>
          </cell>
        </row>
        <row r="321">
          <cell r="A321" t="str">
            <v>T156A</v>
          </cell>
          <cell r="B321" t="str">
            <v>D</v>
          </cell>
          <cell r="C321">
            <v>17.71</v>
          </cell>
        </row>
        <row r="322">
          <cell r="A322" t="str">
            <v>T157</v>
          </cell>
          <cell r="B322" t="str">
            <v>D</v>
          </cell>
          <cell r="C322">
            <v>13.59</v>
          </cell>
        </row>
        <row r="323">
          <cell r="A323">
            <v>159</v>
          </cell>
          <cell r="B323" t="str">
            <v>D</v>
          </cell>
          <cell r="C323">
            <v>38.869999999999997</v>
          </cell>
        </row>
        <row r="324">
          <cell r="A324" t="str">
            <v>LK159D</v>
          </cell>
          <cell r="B324" t="str">
            <v>D</v>
          </cell>
          <cell r="C324">
            <v>88.04</v>
          </cell>
        </row>
        <row r="325">
          <cell r="A325" t="str">
            <v>T159</v>
          </cell>
          <cell r="B325" t="str">
            <v>D</v>
          </cell>
          <cell r="C325">
            <v>12.47</v>
          </cell>
        </row>
        <row r="326">
          <cell r="A326" t="str">
            <v>LAF160</v>
          </cell>
          <cell r="B326" t="str">
            <v>D</v>
          </cell>
          <cell r="C326">
            <v>80.930000000000007</v>
          </cell>
        </row>
        <row r="327">
          <cell r="A327" t="str">
            <v>LK160CA</v>
          </cell>
          <cell r="B327" t="str">
            <v>D</v>
          </cell>
          <cell r="C327">
            <v>31.56</v>
          </cell>
        </row>
        <row r="328">
          <cell r="A328" t="str">
            <v>T160</v>
          </cell>
          <cell r="B328" t="str">
            <v>D</v>
          </cell>
          <cell r="C328">
            <v>16.100000000000001</v>
          </cell>
        </row>
        <row r="329">
          <cell r="A329" t="str">
            <v>LK161D</v>
          </cell>
          <cell r="B329" t="str">
            <v>C</v>
          </cell>
          <cell r="C329">
            <v>54.81</v>
          </cell>
        </row>
        <row r="330">
          <cell r="A330" t="str">
            <v>LP161</v>
          </cell>
          <cell r="B330" t="str">
            <v>C</v>
          </cell>
          <cell r="C330">
            <v>9.98</v>
          </cell>
        </row>
        <row r="331">
          <cell r="A331" t="str">
            <v>LK162D</v>
          </cell>
          <cell r="B331" t="str">
            <v>D</v>
          </cell>
          <cell r="C331">
            <v>63.64</v>
          </cell>
        </row>
        <row r="332">
          <cell r="A332" t="str">
            <v>T162</v>
          </cell>
          <cell r="B332" t="str">
            <v>D</v>
          </cell>
          <cell r="C332">
            <v>30.18</v>
          </cell>
        </row>
        <row r="333">
          <cell r="A333" t="str">
            <v>LP163</v>
          </cell>
          <cell r="B333" t="str">
            <v>C</v>
          </cell>
          <cell r="C333">
            <v>14.51</v>
          </cell>
        </row>
        <row r="334">
          <cell r="A334" t="str">
            <v>LK164D</v>
          </cell>
          <cell r="B334" t="str">
            <v>D</v>
          </cell>
          <cell r="C334">
            <v>57.73</v>
          </cell>
        </row>
        <row r="335">
          <cell r="A335" t="str">
            <v>LP164</v>
          </cell>
          <cell r="B335" t="str">
            <v>C</v>
          </cell>
          <cell r="C335">
            <v>12.57</v>
          </cell>
        </row>
        <row r="336">
          <cell r="A336" t="str">
            <v>T164</v>
          </cell>
          <cell r="B336" t="str">
            <v>D</v>
          </cell>
          <cell r="C336">
            <v>23.34</v>
          </cell>
        </row>
        <row r="337">
          <cell r="A337" t="str">
            <v>LP165</v>
          </cell>
          <cell r="B337" t="str">
            <v>D</v>
          </cell>
          <cell r="C337">
            <v>21.99</v>
          </cell>
        </row>
        <row r="338">
          <cell r="A338" t="str">
            <v>T165A</v>
          </cell>
          <cell r="B338" t="str">
            <v>D</v>
          </cell>
          <cell r="C338">
            <v>23.26</v>
          </cell>
        </row>
        <row r="339">
          <cell r="A339" t="str">
            <v>LK166D</v>
          </cell>
          <cell r="B339" t="str">
            <v>D</v>
          </cell>
          <cell r="C339">
            <v>69.739999999999995</v>
          </cell>
        </row>
        <row r="340">
          <cell r="A340" t="str">
            <v>T166</v>
          </cell>
          <cell r="B340" t="str">
            <v>D</v>
          </cell>
          <cell r="C340">
            <v>29.53</v>
          </cell>
        </row>
        <row r="341">
          <cell r="A341" t="str">
            <v>AF168</v>
          </cell>
          <cell r="B341" t="str">
            <v>D</v>
          </cell>
          <cell r="C341">
            <v>9.85</v>
          </cell>
        </row>
        <row r="342">
          <cell r="A342" t="str">
            <v>T168</v>
          </cell>
          <cell r="B342" t="str">
            <v>D</v>
          </cell>
          <cell r="C342">
            <v>22.92</v>
          </cell>
        </row>
        <row r="343">
          <cell r="A343" t="str">
            <v>LK170M</v>
          </cell>
          <cell r="B343" t="str">
            <v>D</v>
          </cell>
          <cell r="C343">
            <v>78.25</v>
          </cell>
        </row>
        <row r="344">
          <cell r="A344" t="str">
            <v>PC170</v>
          </cell>
          <cell r="B344" t="str">
            <v>D</v>
          </cell>
          <cell r="C344">
            <v>3.74</v>
          </cell>
        </row>
        <row r="345">
          <cell r="A345" t="str">
            <v>T170</v>
          </cell>
          <cell r="B345" t="str">
            <v>D</v>
          </cell>
          <cell r="C345">
            <v>34.479999999999997</v>
          </cell>
        </row>
        <row r="346">
          <cell r="A346" t="str">
            <v>PC171</v>
          </cell>
          <cell r="B346" t="str">
            <v>D</v>
          </cell>
          <cell r="C346">
            <v>3.38</v>
          </cell>
        </row>
        <row r="347">
          <cell r="A347" t="str">
            <v>PC172</v>
          </cell>
          <cell r="B347" t="str">
            <v>D</v>
          </cell>
          <cell r="C347">
            <v>3.23</v>
          </cell>
        </row>
        <row r="348">
          <cell r="A348" t="str">
            <v>T172</v>
          </cell>
          <cell r="B348" t="str">
            <v>D</v>
          </cell>
          <cell r="C348">
            <v>16.670000000000002</v>
          </cell>
        </row>
        <row r="349">
          <cell r="A349" t="str">
            <v>T173</v>
          </cell>
          <cell r="B349" t="str">
            <v>D</v>
          </cell>
          <cell r="C349">
            <v>19.309999999999999</v>
          </cell>
        </row>
        <row r="350">
          <cell r="A350" t="str">
            <v>PC174</v>
          </cell>
          <cell r="B350" t="str">
            <v>D</v>
          </cell>
          <cell r="C350">
            <v>3.23</v>
          </cell>
        </row>
        <row r="351">
          <cell r="A351" t="str">
            <v>T174</v>
          </cell>
          <cell r="B351" t="str">
            <v>D</v>
          </cell>
          <cell r="C351">
            <v>26.96</v>
          </cell>
        </row>
        <row r="352">
          <cell r="A352" t="str">
            <v>PC175</v>
          </cell>
          <cell r="B352" t="str">
            <v>D</v>
          </cell>
          <cell r="C352">
            <v>3.97</v>
          </cell>
        </row>
        <row r="353">
          <cell r="A353" t="str">
            <v>T175</v>
          </cell>
          <cell r="B353" t="str">
            <v>D</v>
          </cell>
          <cell r="C353">
            <v>23.2</v>
          </cell>
        </row>
        <row r="354">
          <cell r="A354" t="str">
            <v>LP176</v>
          </cell>
          <cell r="B354" t="str">
            <v>D</v>
          </cell>
          <cell r="C354">
            <v>11.42</v>
          </cell>
        </row>
        <row r="355">
          <cell r="A355" t="str">
            <v>T176A</v>
          </cell>
          <cell r="B355" t="str">
            <v>D</v>
          </cell>
          <cell r="C355">
            <v>24.78</v>
          </cell>
        </row>
        <row r="356">
          <cell r="A356" t="str">
            <v>AF178</v>
          </cell>
          <cell r="B356" t="str">
            <v>D</v>
          </cell>
          <cell r="C356">
            <v>7.39</v>
          </cell>
        </row>
        <row r="357">
          <cell r="A357" t="str">
            <v>LK178D</v>
          </cell>
          <cell r="B357" t="str">
            <v>D</v>
          </cell>
          <cell r="C357">
            <v>75.81</v>
          </cell>
        </row>
        <row r="358">
          <cell r="A358" t="str">
            <v>P178</v>
          </cell>
          <cell r="B358" t="str">
            <v>D</v>
          </cell>
          <cell r="C358">
            <v>9.5399999999999991</v>
          </cell>
        </row>
        <row r="359">
          <cell r="A359" t="str">
            <v>PC178</v>
          </cell>
          <cell r="B359" t="str">
            <v>D</v>
          </cell>
          <cell r="C359">
            <v>3.46</v>
          </cell>
        </row>
        <row r="360">
          <cell r="A360" t="str">
            <v>T178</v>
          </cell>
          <cell r="B360" t="str">
            <v>D</v>
          </cell>
          <cell r="C360">
            <v>19.62</v>
          </cell>
        </row>
        <row r="361">
          <cell r="A361" t="str">
            <v>LK179D</v>
          </cell>
          <cell r="B361" t="str">
            <v>D</v>
          </cell>
          <cell r="C361">
            <v>68.94</v>
          </cell>
        </row>
        <row r="362">
          <cell r="A362" t="str">
            <v>T179</v>
          </cell>
          <cell r="B362" t="str">
            <v>D</v>
          </cell>
          <cell r="C362">
            <v>19.98</v>
          </cell>
        </row>
        <row r="363">
          <cell r="A363" t="str">
            <v>G180</v>
          </cell>
          <cell r="B363" t="str">
            <v>D</v>
          </cell>
          <cell r="C363">
            <v>7.28</v>
          </cell>
        </row>
        <row r="364">
          <cell r="A364" t="str">
            <v>T180</v>
          </cell>
          <cell r="B364" t="str">
            <v>D</v>
          </cell>
          <cell r="C364">
            <v>24.99</v>
          </cell>
        </row>
        <row r="365">
          <cell r="A365" t="str">
            <v>LK181D</v>
          </cell>
          <cell r="B365" t="str">
            <v>D</v>
          </cell>
          <cell r="C365">
            <v>68.44</v>
          </cell>
        </row>
        <row r="366">
          <cell r="A366" t="str">
            <v>LK182C</v>
          </cell>
          <cell r="B366" t="str">
            <v>D</v>
          </cell>
          <cell r="C366">
            <v>58.53</v>
          </cell>
        </row>
        <row r="367">
          <cell r="A367" t="str">
            <v>PC182</v>
          </cell>
          <cell r="B367" t="str">
            <v>D</v>
          </cell>
          <cell r="C367">
            <v>3.17</v>
          </cell>
        </row>
        <row r="368">
          <cell r="A368" t="str">
            <v>AF184</v>
          </cell>
          <cell r="B368" t="str">
            <v>D</v>
          </cell>
          <cell r="C368">
            <v>7.76</v>
          </cell>
        </row>
        <row r="369">
          <cell r="A369" t="str">
            <v>LK184D</v>
          </cell>
          <cell r="B369" t="str">
            <v>D</v>
          </cell>
          <cell r="C369">
            <v>83.22</v>
          </cell>
        </row>
        <row r="370">
          <cell r="A370" t="str">
            <v>PC184</v>
          </cell>
          <cell r="B370" t="str">
            <v>D</v>
          </cell>
          <cell r="C370">
            <v>3.72</v>
          </cell>
        </row>
        <row r="371">
          <cell r="A371" t="str">
            <v>AF185</v>
          </cell>
          <cell r="B371" t="str">
            <v>D</v>
          </cell>
          <cell r="C371">
            <v>11.96</v>
          </cell>
        </row>
        <row r="372">
          <cell r="A372" t="str">
            <v>T185</v>
          </cell>
          <cell r="B372" t="str">
            <v>D</v>
          </cell>
          <cell r="C372">
            <v>19.71</v>
          </cell>
        </row>
        <row r="373">
          <cell r="A373" t="str">
            <v>AF186</v>
          </cell>
          <cell r="B373" t="str">
            <v>D</v>
          </cell>
          <cell r="C373">
            <v>10.62</v>
          </cell>
        </row>
        <row r="374">
          <cell r="A374" t="str">
            <v>LK186I</v>
          </cell>
          <cell r="B374" t="str">
            <v>D</v>
          </cell>
          <cell r="C374">
            <v>52.7</v>
          </cell>
        </row>
        <row r="375">
          <cell r="A375" t="str">
            <v>PC186</v>
          </cell>
          <cell r="B375" t="str">
            <v>D</v>
          </cell>
          <cell r="C375">
            <v>11.06</v>
          </cell>
        </row>
        <row r="376">
          <cell r="A376" t="str">
            <v>T186</v>
          </cell>
          <cell r="B376" t="str">
            <v>D</v>
          </cell>
          <cell r="C376">
            <v>27.92</v>
          </cell>
        </row>
        <row r="377">
          <cell r="A377" t="str">
            <v>T187</v>
          </cell>
          <cell r="B377" t="str">
            <v>D</v>
          </cell>
          <cell r="C377">
            <v>20.76</v>
          </cell>
        </row>
        <row r="378">
          <cell r="A378" t="str">
            <v>T188</v>
          </cell>
          <cell r="B378" t="str">
            <v>D</v>
          </cell>
          <cell r="C378">
            <v>22.11</v>
          </cell>
        </row>
        <row r="379">
          <cell r="A379" t="str">
            <v>LAF189</v>
          </cell>
          <cell r="B379" t="str">
            <v>D</v>
          </cell>
          <cell r="C379">
            <v>16.95</v>
          </cell>
        </row>
        <row r="380">
          <cell r="A380" t="str">
            <v>P189</v>
          </cell>
          <cell r="B380" t="str">
            <v>D</v>
          </cell>
          <cell r="C380">
            <v>6.73</v>
          </cell>
        </row>
        <row r="381">
          <cell r="A381" t="str">
            <v>PC189</v>
          </cell>
          <cell r="B381" t="str">
            <v>D</v>
          </cell>
          <cell r="C381">
            <v>7.41</v>
          </cell>
        </row>
        <row r="382">
          <cell r="A382" t="str">
            <v>T189</v>
          </cell>
          <cell r="B382" t="str">
            <v>D</v>
          </cell>
          <cell r="C382">
            <v>21.01</v>
          </cell>
        </row>
        <row r="383">
          <cell r="A383" t="str">
            <v>LAF190</v>
          </cell>
          <cell r="B383" t="str">
            <v>D</v>
          </cell>
          <cell r="C383">
            <v>5.81</v>
          </cell>
        </row>
        <row r="384">
          <cell r="A384" t="str">
            <v>PC190</v>
          </cell>
          <cell r="B384" t="str">
            <v>D</v>
          </cell>
          <cell r="C384">
            <v>3.45</v>
          </cell>
        </row>
        <row r="385">
          <cell r="A385" t="str">
            <v>LK191F</v>
          </cell>
          <cell r="B385" t="str">
            <v>D</v>
          </cell>
          <cell r="C385">
            <v>33.869999999999997</v>
          </cell>
        </row>
        <row r="386">
          <cell r="A386" t="str">
            <v>PC192</v>
          </cell>
          <cell r="B386" t="str">
            <v>D</v>
          </cell>
          <cell r="C386">
            <v>4.25</v>
          </cell>
        </row>
        <row r="387">
          <cell r="A387" t="str">
            <v>T192</v>
          </cell>
          <cell r="B387" t="str">
            <v>D</v>
          </cell>
          <cell r="C387">
            <v>25.73</v>
          </cell>
        </row>
        <row r="388">
          <cell r="A388" t="str">
            <v>PC193</v>
          </cell>
          <cell r="B388" t="str">
            <v>D</v>
          </cell>
          <cell r="C388">
            <v>6.06</v>
          </cell>
        </row>
        <row r="389">
          <cell r="A389" t="str">
            <v>T193</v>
          </cell>
          <cell r="B389" t="str">
            <v>D</v>
          </cell>
          <cell r="C389">
            <v>27.44</v>
          </cell>
        </row>
        <row r="390">
          <cell r="A390" t="str">
            <v>PC194</v>
          </cell>
          <cell r="B390" t="str">
            <v>D</v>
          </cell>
          <cell r="C390">
            <v>3.17</v>
          </cell>
        </row>
        <row r="391">
          <cell r="A391" t="str">
            <v>T194</v>
          </cell>
          <cell r="B391" t="str">
            <v>A</v>
          </cell>
          <cell r="C391">
            <v>16.95</v>
          </cell>
        </row>
        <row r="392">
          <cell r="A392" t="str">
            <v>LK195T</v>
          </cell>
          <cell r="B392" t="str">
            <v>D</v>
          </cell>
          <cell r="C392">
            <v>72.260000000000005</v>
          </cell>
        </row>
        <row r="393">
          <cell r="A393" t="str">
            <v>PC195</v>
          </cell>
          <cell r="B393" t="str">
            <v>D</v>
          </cell>
          <cell r="C393">
            <v>3.65</v>
          </cell>
        </row>
        <row r="394">
          <cell r="A394" t="str">
            <v>PC196</v>
          </cell>
          <cell r="B394" t="str">
            <v>D</v>
          </cell>
          <cell r="C394">
            <v>3.39</v>
          </cell>
        </row>
        <row r="395">
          <cell r="A395" t="str">
            <v>T196</v>
          </cell>
          <cell r="B395" t="str">
            <v>D</v>
          </cell>
          <cell r="C395">
            <v>26.86</v>
          </cell>
        </row>
        <row r="396">
          <cell r="A396" t="str">
            <v>L197F</v>
          </cell>
          <cell r="B396" t="str">
            <v>D</v>
          </cell>
          <cell r="C396">
            <v>33.24</v>
          </cell>
        </row>
        <row r="397">
          <cell r="A397" t="str">
            <v>PC198</v>
          </cell>
          <cell r="B397" t="str">
            <v>D</v>
          </cell>
          <cell r="C397">
            <v>5.09</v>
          </cell>
        </row>
        <row r="398">
          <cell r="A398" t="str">
            <v>T198</v>
          </cell>
          <cell r="B398" t="str">
            <v>D</v>
          </cell>
          <cell r="C398">
            <v>19.3</v>
          </cell>
        </row>
        <row r="399">
          <cell r="A399" t="str">
            <v>LK199D</v>
          </cell>
          <cell r="B399" t="str">
            <v>D</v>
          </cell>
          <cell r="C399">
            <v>60.75</v>
          </cell>
        </row>
        <row r="400">
          <cell r="A400" t="str">
            <v>PC199</v>
          </cell>
          <cell r="B400" t="str">
            <v>D</v>
          </cell>
          <cell r="C400">
            <v>3.41</v>
          </cell>
        </row>
        <row r="401">
          <cell r="A401" t="str">
            <v>LAF200</v>
          </cell>
          <cell r="B401" t="str">
            <v>D</v>
          </cell>
          <cell r="C401">
            <v>18.899999999999999</v>
          </cell>
        </row>
        <row r="402">
          <cell r="A402" t="str">
            <v>LFF200</v>
          </cell>
          <cell r="B402" t="str">
            <v>D</v>
          </cell>
          <cell r="C402">
            <v>17.91</v>
          </cell>
        </row>
        <row r="403">
          <cell r="A403" t="str">
            <v>AF202</v>
          </cell>
          <cell r="B403" t="str">
            <v>D</v>
          </cell>
          <cell r="C403">
            <v>10.39</v>
          </cell>
        </row>
        <row r="404">
          <cell r="A404" t="str">
            <v>LFF202</v>
          </cell>
          <cell r="B404" t="str">
            <v>B</v>
          </cell>
          <cell r="C404">
            <v>26.99</v>
          </cell>
        </row>
        <row r="405">
          <cell r="A405" t="str">
            <v>LK202C</v>
          </cell>
          <cell r="B405" t="str">
            <v>D</v>
          </cell>
          <cell r="C405">
            <v>46.3</v>
          </cell>
        </row>
        <row r="406">
          <cell r="A406" t="str">
            <v>PC202</v>
          </cell>
          <cell r="B406" t="str">
            <v>D</v>
          </cell>
          <cell r="C406">
            <v>7.03</v>
          </cell>
        </row>
        <row r="407">
          <cell r="A407" t="str">
            <v>LAF203</v>
          </cell>
          <cell r="B407" t="str">
            <v>D</v>
          </cell>
          <cell r="C407">
            <v>76.989999999999995</v>
          </cell>
        </row>
        <row r="408">
          <cell r="A408" t="str">
            <v>PC203</v>
          </cell>
          <cell r="B408" t="str">
            <v>D</v>
          </cell>
          <cell r="C408">
            <v>6.65</v>
          </cell>
        </row>
        <row r="409">
          <cell r="A409" t="str">
            <v>AF204</v>
          </cell>
          <cell r="B409" t="str">
            <v>D</v>
          </cell>
          <cell r="C409">
            <v>7.34</v>
          </cell>
        </row>
        <row r="410">
          <cell r="A410" t="str">
            <v>LK204I</v>
          </cell>
          <cell r="B410" t="str">
            <v>D</v>
          </cell>
          <cell r="C410">
            <v>51.79</v>
          </cell>
        </row>
        <row r="411">
          <cell r="A411" t="str">
            <v>AF205</v>
          </cell>
          <cell r="B411" t="str">
            <v>D</v>
          </cell>
          <cell r="C411">
            <v>7.03</v>
          </cell>
        </row>
        <row r="412">
          <cell r="A412" t="str">
            <v>AF206</v>
          </cell>
          <cell r="B412" t="str">
            <v>D</v>
          </cell>
          <cell r="C412">
            <v>8.34</v>
          </cell>
        </row>
        <row r="413">
          <cell r="A413" t="str">
            <v>LK206I</v>
          </cell>
          <cell r="B413" t="str">
            <v>D</v>
          </cell>
          <cell r="C413">
            <v>62.44</v>
          </cell>
        </row>
        <row r="414">
          <cell r="A414" t="str">
            <v>PC206</v>
          </cell>
          <cell r="B414" t="str">
            <v>D</v>
          </cell>
          <cell r="C414">
            <v>8.5299999999999994</v>
          </cell>
        </row>
        <row r="415">
          <cell r="A415" t="str">
            <v>LK207I</v>
          </cell>
          <cell r="B415" t="str">
            <v>D</v>
          </cell>
          <cell r="C415">
            <v>52.25</v>
          </cell>
        </row>
        <row r="416">
          <cell r="A416" t="str">
            <v>AF208</v>
          </cell>
          <cell r="B416" t="str">
            <v>D</v>
          </cell>
          <cell r="C416">
            <v>10.37</v>
          </cell>
        </row>
        <row r="417">
          <cell r="A417" t="str">
            <v>LK208C</v>
          </cell>
          <cell r="B417" t="str">
            <v>D</v>
          </cell>
          <cell r="C417">
            <v>62.08</v>
          </cell>
        </row>
        <row r="418">
          <cell r="A418" t="str">
            <v>AF210</v>
          </cell>
          <cell r="B418" t="str">
            <v>D</v>
          </cell>
          <cell r="C418">
            <v>6.43</v>
          </cell>
        </row>
        <row r="419">
          <cell r="A419" t="str">
            <v>LAF210</v>
          </cell>
          <cell r="B419" t="str">
            <v>D</v>
          </cell>
          <cell r="C419">
            <v>30.77</v>
          </cell>
        </row>
        <row r="420">
          <cell r="A420" t="str">
            <v>AF211</v>
          </cell>
          <cell r="B420" t="str">
            <v>B</v>
          </cell>
          <cell r="C420">
            <v>8.94</v>
          </cell>
        </row>
        <row r="421">
          <cell r="A421" t="str">
            <v>AF212</v>
          </cell>
          <cell r="B421" t="str">
            <v>D</v>
          </cell>
          <cell r="C421">
            <v>10.76</v>
          </cell>
        </row>
        <row r="422">
          <cell r="A422" t="str">
            <v>LP212</v>
          </cell>
          <cell r="B422" t="str">
            <v>D</v>
          </cell>
          <cell r="C422">
            <v>14.81</v>
          </cell>
        </row>
        <row r="423">
          <cell r="A423" t="str">
            <v>PC212</v>
          </cell>
          <cell r="B423" t="str">
            <v>D</v>
          </cell>
          <cell r="C423">
            <v>4.41</v>
          </cell>
        </row>
        <row r="424">
          <cell r="A424" t="str">
            <v>AF213</v>
          </cell>
          <cell r="B424" t="str">
            <v>D</v>
          </cell>
          <cell r="C424">
            <v>7.52</v>
          </cell>
        </row>
        <row r="425">
          <cell r="A425" t="str">
            <v>LP213</v>
          </cell>
          <cell r="B425" t="str">
            <v>D</v>
          </cell>
          <cell r="C425">
            <v>10.65</v>
          </cell>
        </row>
        <row r="426">
          <cell r="A426" t="str">
            <v>AF214</v>
          </cell>
          <cell r="B426" t="str">
            <v>D</v>
          </cell>
          <cell r="C426">
            <v>8.25</v>
          </cell>
        </row>
        <row r="427">
          <cell r="A427" t="str">
            <v>LK214V</v>
          </cell>
          <cell r="B427" t="str">
            <v>D</v>
          </cell>
          <cell r="C427">
            <v>70.900000000000006</v>
          </cell>
        </row>
        <row r="428">
          <cell r="A428" t="str">
            <v>LP214</v>
          </cell>
          <cell r="B428" t="str">
            <v>D</v>
          </cell>
          <cell r="C428">
            <v>18.34</v>
          </cell>
        </row>
        <row r="429">
          <cell r="A429" t="str">
            <v>AF215</v>
          </cell>
          <cell r="B429" t="str">
            <v>D</v>
          </cell>
          <cell r="C429">
            <v>7.93</v>
          </cell>
        </row>
        <row r="430">
          <cell r="A430" t="str">
            <v>LK215V</v>
          </cell>
          <cell r="B430" t="str">
            <v>D</v>
          </cell>
          <cell r="C430">
            <v>76.86</v>
          </cell>
        </row>
        <row r="431">
          <cell r="A431" t="str">
            <v>PC215</v>
          </cell>
          <cell r="B431" t="str">
            <v>D</v>
          </cell>
          <cell r="C431">
            <v>4.96</v>
          </cell>
        </row>
        <row r="432">
          <cell r="A432" t="str">
            <v>AF216</v>
          </cell>
          <cell r="B432" t="str">
            <v>D</v>
          </cell>
          <cell r="C432">
            <v>10.93</v>
          </cell>
        </row>
        <row r="433">
          <cell r="A433" t="str">
            <v>LK216C</v>
          </cell>
          <cell r="B433" t="str">
            <v>D</v>
          </cell>
          <cell r="C433">
            <v>35.01</v>
          </cell>
        </row>
        <row r="434">
          <cell r="A434" t="str">
            <v>T216</v>
          </cell>
          <cell r="B434" t="str">
            <v>D</v>
          </cell>
          <cell r="C434">
            <v>26.33</v>
          </cell>
        </row>
        <row r="435">
          <cell r="A435" t="str">
            <v>AF217</v>
          </cell>
          <cell r="B435" t="str">
            <v>D</v>
          </cell>
          <cell r="C435">
            <v>7.98</v>
          </cell>
        </row>
        <row r="436">
          <cell r="A436" t="str">
            <v>PC217</v>
          </cell>
          <cell r="B436" t="str">
            <v>B</v>
          </cell>
          <cell r="C436">
            <v>4.63</v>
          </cell>
        </row>
        <row r="437">
          <cell r="A437" t="str">
            <v>T217</v>
          </cell>
          <cell r="B437" t="str">
            <v>A</v>
          </cell>
          <cell r="C437">
            <v>24.04</v>
          </cell>
        </row>
        <row r="438">
          <cell r="A438" t="str">
            <v>LFP218F</v>
          </cell>
          <cell r="B438" t="str">
            <v>B</v>
          </cell>
          <cell r="C438">
            <v>10</v>
          </cell>
        </row>
        <row r="439">
          <cell r="A439" t="str">
            <v>LFP219F</v>
          </cell>
          <cell r="B439" t="str">
            <v>B</v>
          </cell>
          <cell r="C439">
            <v>10.3</v>
          </cell>
        </row>
        <row r="440">
          <cell r="A440" t="str">
            <v>LK219I</v>
          </cell>
          <cell r="B440" t="str">
            <v>D</v>
          </cell>
          <cell r="C440">
            <v>67.930000000000007</v>
          </cell>
        </row>
        <row r="441">
          <cell r="A441" t="str">
            <v>PC219</v>
          </cell>
          <cell r="B441" t="str">
            <v>D</v>
          </cell>
          <cell r="C441">
            <v>3.72</v>
          </cell>
        </row>
        <row r="442">
          <cell r="A442" t="str">
            <v>PC220</v>
          </cell>
          <cell r="B442" t="str">
            <v>D</v>
          </cell>
          <cell r="C442">
            <v>5.03</v>
          </cell>
        </row>
        <row r="443">
          <cell r="A443" t="str">
            <v>LAF221</v>
          </cell>
          <cell r="B443" t="str">
            <v>D</v>
          </cell>
          <cell r="C443">
            <v>25.37</v>
          </cell>
        </row>
        <row r="444">
          <cell r="A444" t="str">
            <v>AF222</v>
          </cell>
          <cell r="B444" t="str">
            <v>D</v>
          </cell>
          <cell r="C444">
            <v>17.52</v>
          </cell>
        </row>
        <row r="445">
          <cell r="A445" t="str">
            <v>LAF222</v>
          </cell>
          <cell r="B445" t="str">
            <v>B</v>
          </cell>
          <cell r="C445">
            <v>22.33</v>
          </cell>
        </row>
        <row r="446">
          <cell r="A446" t="str">
            <v>T222</v>
          </cell>
          <cell r="B446" t="str">
            <v>D</v>
          </cell>
          <cell r="C446">
            <v>32.630000000000003</v>
          </cell>
        </row>
        <row r="447">
          <cell r="A447" t="str">
            <v>LK223D</v>
          </cell>
          <cell r="B447" t="str">
            <v>D</v>
          </cell>
          <cell r="C447">
            <v>43.2</v>
          </cell>
        </row>
        <row r="448">
          <cell r="A448" t="str">
            <v>LK224I</v>
          </cell>
          <cell r="B448" t="str">
            <v>D</v>
          </cell>
          <cell r="C448">
            <v>51.79</v>
          </cell>
        </row>
        <row r="449">
          <cell r="A449" t="str">
            <v>LP224</v>
          </cell>
          <cell r="B449" t="str">
            <v>D</v>
          </cell>
          <cell r="C449">
            <v>15.67</v>
          </cell>
        </row>
        <row r="450">
          <cell r="A450" t="str">
            <v>LAF225</v>
          </cell>
          <cell r="B450" t="str">
            <v>D</v>
          </cell>
          <cell r="C450">
            <v>20.59</v>
          </cell>
        </row>
        <row r="451">
          <cell r="A451" t="str">
            <v>PH226</v>
          </cell>
          <cell r="B451" t="str">
            <v>D</v>
          </cell>
          <cell r="C451">
            <v>9.39</v>
          </cell>
        </row>
        <row r="452">
          <cell r="A452" t="str">
            <v>T226</v>
          </cell>
          <cell r="B452" t="str">
            <v>D</v>
          </cell>
          <cell r="C452">
            <v>32.56</v>
          </cell>
        </row>
        <row r="453">
          <cell r="A453" t="str">
            <v>AF228</v>
          </cell>
          <cell r="B453" t="str">
            <v>D</v>
          </cell>
          <cell r="C453">
            <v>32.43</v>
          </cell>
        </row>
        <row r="454">
          <cell r="A454" t="str">
            <v>LK228C</v>
          </cell>
          <cell r="B454" t="str">
            <v>D</v>
          </cell>
          <cell r="C454">
            <v>49.84</v>
          </cell>
        </row>
        <row r="455">
          <cell r="A455" t="str">
            <v>PC228</v>
          </cell>
          <cell r="B455" t="str">
            <v>D</v>
          </cell>
          <cell r="C455">
            <v>6.81</v>
          </cell>
        </row>
        <row r="456">
          <cell r="A456" t="str">
            <v>LK229I</v>
          </cell>
          <cell r="B456" t="str">
            <v>D</v>
          </cell>
          <cell r="C456">
            <v>51.68</v>
          </cell>
        </row>
        <row r="457">
          <cell r="A457" t="str">
            <v>LP229</v>
          </cell>
          <cell r="B457" t="str">
            <v>D</v>
          </cell>
          <cell r="C457">
            <v>28.56</v>
          </cell>
        </row>
        <row r="458">
          <cell r="A458" t="str">
            <v>AF230</v>
          </cell>
          <cell r="B458" t="str">
            <v>D</v>
          </cell>
          <cell r="C458">
            <v>29.93</v>
          </cell>
        </row>
        <row r="459">
          <cell r="A459" t="str">
            <v>FP230F</v>
          </cell>
          <cell r="B459" t="str">
            <v>D</v>
          </cell>
          <cell r="C459">
            <v>8.23</v>
          </cell>
        </row>
        <row r="460">
          <cell r="A460" t="str">
            <v>LAF230</v>
          </cell>
          <cell r="B460" t="str">
            <v>D</v>
          </cell>
          <cell r="C460">
            <v>35.61</v>
          </cell>
        </row>
        <row r="461">
          <cell r="A461" t="str">
            <v>PC230</v>
          </cell>
          <cell r="B461" t="str">
            <v>D</v>
          </cell>
          <cell r="C461">
            <v>4.1100000000000003</v>
          </cell>
        </row>
        <row r="462">
          <cell r="A462" t="str">
            <v>PC231</v>
          </cell>
          <cell r="B462" t="str">
            <v>D</v>
          </cell>
          <cell r="C462">
            <v>5.16</v>
          </cell>
        </row>
        <row r="463">
          <cell r="A463" t="str">
            <v>T231</v>
          </cell>
          <cell r="B463" t="str">
            <v>D</v>
          </cell>
          <cell r="C463">
            <v>35.840000000000003</v>
          </cell>
        </row>
        <row r="464">
          <cell r="A464" t="str">
            <v>AF232</v>
          </cell>
          <cell r="B464" t="str">
            <v>D</v>
          </cell>
          <cell r="C464">
            <v>37.92</v>
          </cell>
        </row>
        <row r="465">
          <cell r="A465" t="str">
            <v>AF233</v>
          </cell>
          <cell r="B465" t="str">
            <v>D</v>
          </cell>
          <cell r="C465">
            <v>25.13</v>
          </cell>
        </row>
        <row r="466">
          <cell r="A466" t="str">
            <v>PC233</v>
          </cell>
          <cell r="B466" t="str">
            <v>D</v>
          </cell>
          <cell r="C466">
            <v>7.4</v>
          </cell>
        </row>
        <row r="467">
          <cell r="A467" t="str">
            <v>AF234</v>
          </cell>
          <cell r="B467" t="str">
            <v>D</v>
          </cell>
          <cell r="C467">
            <v>19.22</v>
          </cell>
        </row>
        <row r="468">
          <cell r="A468" t="str">
            <v>LAF234HD</v>
          </cell>
          <cell r="B468" t="str">
            <v>D</v>
          </cell>
          <cell r="C468">
            <v>40.03</v>
          </cell>
        </row>
        <row r="469">
          <cell r="A469" t="str">
            <v>PC234</v>
          </cell>
          <cell r="B469" t="str">
            <v>D</v>
          </cell>
          <cell r="C469">
            <v>7.51</v>
          </cell>
        </row>
        <row r="470">
          <cell r="A470" t="str">
            <v>AF235</v>
          </cell>
          <cell r="B470" t="str">
            <v>D</v>
          </cell>
          <cell r="C470">
            <v>15.34</v>
          </cell>
        </row>
        <row r="471">
          <cell r="A471" t="str">
            <v>PC235</v>
          </cell>
          <cell r="B471" t="str">
            <v>D</v>
          </cell>
          <cell r="C471">
            <v>7.53</v>
          </cell>
        </row>
        <row r="472">
          <cell r="A472" t="str">
            <v>LK236M</v>
          </cell>
          <cell r="B472" t="str">
            <v>D</v>
          </cell>
          <cell r="C472">
            <v>88.52</v>
          </cell>
        </row>
        <row r="473">
          <cell r="A473" t="str">
            <v>PC236</v>
          </cell>
          <cell r="B473" t="str">
            <v>D</v>
          </cell>
          <cell r="C473">
            <v>7.82</v>
          </cell>
        </row>
        <row r="474">
          <cell r="A474" t="str">
            <v>T236</v>
          </cell>
          <cell r="B474" t="str">
            <v>D</v>
          </cell>
          <cell r="C474">
            <v>29.21</v>
          </cell>
        </row>
        <row r="475">
          <cell r="A475" t="str">
            <v>LAF237</v>
          </cell>
          <cell r="B475" t="str">
            <v>D</v>
          </cell>
          <cell r="C475">
            <v>28.68</v>
          </cell>
        </row>
        <row r="476">
          <cell r="A476" t="str">
            <v>LK237M</v>
          </cell>
          <cell r="B476" t="str">
            <v>D</v>
          </cell>
          <cell r="C476">
            <v>79.53</v>
          </cell>
        </row>
        <row r="477">
          <cell r="A477" t="str">
            <v>PC237</v>
          </cell>
          <cell r="B477" t="str">
            <v>D</v>
          </cell>
          <cell r="C477">
            <v>4.18</v>
          </cell>
        </row>
        <row r="478">
          <cell r="A478" t="str">
            <v>LK238D</v>
          </cell>
          <cell r="B478" t="str">
            <v>D</v>
          </cell>
          <cell r="C478">
            <v>53.61</v>
          </cell>
        </row>
        <row r="479">
          <cell r="A479" t="str">
            <v>PC238</v>
          </cell>
          <cell r="B479" t="str">
            <v>D</v>
          </cell>
          <cell r="C479">
            <v>3.29</v>
          </cell>
        </row>
        <row r="480">
          <cell r="A480" t="str">
            <v>PC239</v>
          </cell>
          <cell r="B480" t="str">
            <v>D</v>
          </cell>
          <cell r="C480">
            <v>8.83</v>
          </cell>
        </row>
        <row r="481">
          <cell r="A481" t="str">
            <v>G240</v>
          </cell>
          <cell r="B481" t="str">
            <v>D</v>
          </cell>
          <cell r="C481">
            <v>9.7899999999999991</v>
          </cell>
        </row>
        <row r="482">
          <cell r="A482" t="str">
            <v>LAF240</v>
          </cell>
          <cell r="B482" t="str">
            <v>D</v>
          </cell>
          <cell r="C482">
            <v>39.47</v>
          </cell>
        </row>
        <row r="483">
          <cell r="A483" t="str">
            <v>LAF240HD</v>
          </cell>
          <cell r="B483" t="str">
            <v>D</v>
          </cell>
          <cell r="C483">
            <v>47.52</v>
          </cell>
        </row>
        <row r="484">
          <cell r="A484" t="str">
            <v>AF241</v>
          </cell>
          <cell r="B484" t="str">
            <v>D</v>
          </cell>
          <cell r="C484">
            <v>14.42</v>
          </cell>
        </row>
        <row r="485">
          <cell r="A485" t="str">
            <v>G241</v>
          </cell>
          <cell r="B485" t="str">
            <v>D</v>
          </cell>
          <cell r="C485">
            <v>13.04</v>
          </cell>
        </row>
        <row r="486">
          <cell r="A486" t="str">
            <v>LAF241HD</v>
          </cell>
          <cell r="B486" t="str">
            <v>D</v>
          </cell>
          <cell r="C486">
            <v>46.7</v>
          </cell>
        </row>
        <row r="487">
          <cell r="A487" t="str">
            <v>G242</v>
          </cell>
          <cell r="B487" t="str">
            <v>D</v>
          </cell>
          <cell r="C487">
            <v>15.46</v>
          </cell>
        </row>
        <row r="488">
          <cell r="A488" t="str">
            <v>AF243</v>
          </cell>
          <cell r="B488" t="str">
            <v>D</v>
          </cell>
          <cell r="C488">
            <v>26.52</v>
          </cell>
        </row>
        <row r="489">
          <cell r="A489" t="str">
            <v>G243</v>
          </cell>
          <cell r="B489" t="str">
            <v>D</v>
          </cell>
          <cell r="C489">
            <v>5.67</v>
          </cell>
        </row>
        <row r="490">
          <cell r="A490" t="str">
            <v>LK243C</v>
          </cell>
          <cell r="B490" t="str">
            <v>D</v>
          </cell>
          <cell r="C490">
            <v>61.16</v>
          </cell>
        </row>
        <row r="491">
          <cell r="A491" t="str">
            <v>G244</v>
          </cell>
          <cell r="B491" t="str">
            <v>D</v>
          </cell>
          <cell r="C491">
            <v>6.02</v>
          </cell>
        </row>
        <row r="492">
          <cell r="A492" t="str">
            <v>LK244C</v>
          </cell>
          <cell r="B492" t="str">
            <v>D</v>
          </cell>
          <cell r="C492">
            <v>63.78</v>
          </cell>
        </row>
        <row r="493">
          <cell r="A493" t="str">
            <v>LK245C</v>
          </cell>
          <cell r="B493" t="str">
            <v>D</v>
          </cell>
          <cell r="C493">
            <v>51.05</v>
          </cell>
        </row>
        <row r="494">
          <cell r="A494" t="str">
            <v>PC245</v>
          </cell>
          <cell r="B494" t="str">
            <v>D</v>
          </cell>
          <cell r="C494">
            <v>4.8600000000000003</v>
          </cell>
        </row>
        <row r="495">
          <cell r="A495" t="str">
            <v>G246</v>
          </cell>
          <cell r="B495" t="str">
            <v>D</v>
          </cell>
          <cell r="C495">
            <v>18.36</v>
          </cell>
        </row>
        <row r="496">
          <cell r="A496" t="str">
            <v>AF247B</v>
          </cell>
          <cell r="B496" t="str">
            <v>D</v>
          </cell>
          <cell r="C496">
            <v>39.65</v>
          </cell>
        </row>
        <row r="497">
          <cell r="A497" t="str">
            <v>AF247</v>
          </cell>
          <cell r="B497" t="str">
            <v>D</v>
          </cell>
          <cell r="C497">
            <v>47.61</v>
          </cell>
        </row>
        <row r="498">
          <cell r="A498" t="str">
            <v>G247</v>
          </cell>
          <cell r="B498" t="str">
            <v>D</v>
          </cell>
          <cell r="C498">
            <v>7.38</v>
          </cell>
        </row>
        <row r="499">
          <cell r="A499" t="str">
            <v>LK247C</v>
          </cell>
          <cell r="B499" t="str">
            <v>D</v>
          </cell>
          <cell r="C499">
            <v>51.03</v>
          </cell>
        </row>
        <row r="500">
          <cell r="A500" t="str">
            <v>AF248</v>
          </cell>
          <cell r="B500" t="str">
            <v>D</v>
          </cell>
          <cell r="C500">
            <v>40.090000000000003</v>
          </cell>
        </row>
        <row r="501">
          <cell r="A501" t="str">
            <v>LK248I</v>
          </cell>
          <cell r="B501" t="str">
            <v>D</v>
          </cell>
          <cell r="C501">
            <v>82.32</v>
          </cell>
        </row>
        <row r="502">
          <cell r="A502" t="str">
            <v>LK249I</v>
          </cell>
          <cell r="B502" t="str">
            <v>D</v>
          </cell>
          <cell r="C502">
            <v>75.67</v>
          </cell>
        </row>
        <row r="503">
          <cell r="A503" t="str">
            <v>PC249</v>
          </cell>
          <cell r="B503" t="str">
            <v>D</v>
          </cell>
          <cell r="C503">
            <v>3.7</v>
          </cell>
        </row>
        <row r="504">
          <cell r="A504" t="str">
            <v>G250</v>
          </cell>
          <cell r="B504" t="str">
            <v>D</v>
          </cell>
          <cell r="C504">
            <v>9.6199999999999992</v>
          </cell>
        </row>
        <row r="505">
          <cell r="A505" t="str">
            <v>LAF250HD</v>
          </cell>
          <cell r="B505" t="str">
            <v>D</v>
          </cell>
          <cell r="C505">
            <v>97.38</v>
          </cell>
        </row>
        <row r="506">
          <cell r="A506" t="str">
            <v>AF251</v>
          </cell>
          <cell r="B506" t="str">
            <v>D</v>
          </cell>
          <cell r="C506">
            <v>57.48</v>
          </cell>
        </row>
        <row r="507">
          <cell r="A507" t="str">
            <v>FP251F</v>
          </cell>
          <cell r="B507" t="str">
            <v>B</v>
          </cell>
          <cell r="C507">
            <v>8.33</v>
          </cell>
        </row>
        <row r="508">
          <cell r="A508" t="str">
            <v>G251</v>
          </cell>
          <cell r="B508" t="str">
            <v>D</v>
          </cell>
          <cell r="C508">
            <v>5.56</v>
          </cell>
        </row>
        <row r="509">
          <cell r="A509" t="str">
            <v>AF252</v>
          </cell>
          <cell r="B509" t="str">
            <v>D</v>
          </cell>
          <cell r="C509">
            <v>25.15</v>
          </cell>
        </row>
        <row r="510">
          <cell r="A510" t="str">
            <v>G252</v>
          </cell>
          <cell r="B510" t="str">
            <v>D</v>
          </cell>
          <cell r="C510">
            <v>5.25</v>
          </cell>
        </row>
        <row r="511">
          <cell r="A511" t="str">
            <v>LFP252F</v>
          </cell>
          <cell r="B511" t="str">
            <v>D</v>
          </cell>
          <cell r="C511">
            <v>30.21</v>
          </cell>
        </row>
        <row r="512">
          <cell r="A512" t="str">
            <v>LK252C</v>
          </cell>
          <cell r="B512" t="str">
            <v>D</v>
          </cell>
          <cell r="C512">
            <v>138.11000000000001</v>
          </cell>
        </row>
        <row r="513">
          <cell r="A513" t="str">
            <v>AF253</v>
          </cell>
          <cell r="B513" t="str">
            <v>D</v>
          </cell>
          <cell r="C513">
            <v>36.229999999999997</v>
          </cell>
        </row>
        <row r="514">
          <cell r="A514" t="str">
            <v>LK253M</v>
          </cell>
          <cell r="B514" t="str">
            <v>D</v>
          </cell>
          <cell r="C514">
            <v>89.78</v>
          </cell>
        </row>
        <row r="515">
          <cell r="A515" t="str">
            <v>PH253</v>
          </cell>
          <cell r="B515" t="str">
            <v>A</v>
          </cell>
          <cell r="C515">
            <v>5.71</v>
          </cell>
        </row>
        <row r="516">
          <cell r="A516" t="str">
            <v>PH253M</v>
          </cell>
          <cell r="B516" t="str">
            <v>N</v>
          </cell>
          <cell r="C516">
            <v>7.99</v>
          </cell>
        </row>
        <row r="517">
          <cell r="A517" t="str">
            <v>AF254</v>
          </cell>
          <cell r="B517" t="str">
            <v>D</v>
          </cell>
          <cell r="C517">
            <v>21.97</v>
          </cell>
        </row>
        <row r="518">
          <cell r="A518" t="str">
            <v>LK254M</v>
          </cell>
          <cell r="B518" t="str">
            <v>D</v>
          </cell>
          <cell r="C518">
            <v>82.19</v>
          </cell>
        </row>
        <row r="519">
          <cell r="A519" t="str">
            <v>LFP255F</v>
          </cell>
          <cell r="B519" t="str">
            <v>D</v>
          </cell>
          <cell r="C519">
            <v>11.47</v>
          </cell>
        </row>
        <row r="520">
          <cell r="A520" t="str">
            <v>LK255CA</v>
          </cell>
          <cell r="B520" t="str">
            <v>D</v>
          </cell>
          <cell r="C520">
            <v>62.16</v>
          </cell>
        </row>
        <row r="521">
          <cell r="A521" t="str">
            <v>LK256C</v>
          </cell>
          <cell r="B521" t="str">
            <v>D</v>
          </cell>
          <cell r="C521">
            <v>69.23</v>
          </cell>
        </row>
        <row r="522">
          <cell r="A522" t="str">
            <v>PC256</v>
          </cell>
          <cell r="B522" t="str">
            <v>D</v>
          </cell>
          <cell r="C522">
            <v>8.83</v>
          </cell>
        </row>
        <row r="523">
          <cell r="A523" t="str">
            <v>LK257C</v>
          </cell>
          <cell r="B523" t="str">
            <v>D</v>
          </cell>
          <cell r="C523">
            <v>77.81</v>
          </cell>
        </row>
        <row r="524">
          <cell r="A524" t="str">
            <v>PC257</v>
          </cell>
          <cell r="B524" t="str">
            <v>D</v>
          </cell>
          <cell r="C524">
            <v>3.72</v>
          </cell>
        </row>
        <row r="525">
          <cell r="A525" t="str">
            <v>LK258C</v>
          </cell>
          <cell r="B525" t="str">
            <v>D</v>
          </cell>
          <cell r="C525">
            <v>47.81</v>
          </cell>
        </row>
        <row r="526">
          <cell r="A526" t="str">
            <v>PC258</v>
          </cell>
          <cell r="B526" t="str">
            <v>D</v>
          </cell>
          <cell r="C526">
            <v>16.850000000000001</v>
          </cell>
        </row>
        <row r="527">
          <cell r="A527" t="str">
            <v>PC259</v>
          </cell>
          <cell r="B527" t="str">
            <v>D</v>
          </cell>
          <cell r="C527">
            <v>3.86</v>
          </cell>
        </row>
        <row r="528">
          <cell r="A528" t="str">
            <v>AF260</v>
          </cell>
          <cell r="B528" t="str">
            <v>D</v>
          </cell>
          <cell r="C528">
            <v>15.62</v>
          </cell>
        </row>
        <row r="529">
          <cell r="A529" t="str">
            <v>261F</v>
          </cell>
          <cell r="B529" t="str">
            <v>C</v>
          </cell>
          <cell r="C529">
            <v>7.84</v>
          </cell>
        </row>
        <row r="530">
          <cell r="A530" t="str">
            <v>AF261</v>
          </cell>
          <cell r="B530" t="str">
            <v>D</v>
          </cell>
          <cell r="C530">
            <v>7.56</v>
          </cell>
        </row>
        <row r="531">
          <cell r="A531" t="str">
            <v>LK261V</v>
          </cell>
          <cell r="B531" t="str">
            <v>D</v>
          </cell>
          <cell r="C531">
            <v>60.61</v>
          </cell>
        </row>
        <row r="532">
          <cell r="A532" t="str">
            <v>262F</v>
          </cell>
          <cell r="B532" t="str">
            <v>C</v>
          </cell>
          <cell r="C532">
            <v>7.72</v>
          </cell>
        </row>
        <row r="533">
          <cell r="A533" t="str">
            <v>LAF262</v>
          </cell>
          <cell r="B533" t="str">
            <v>D</v>
          </cell>
          <cell r="C533">
            <v>65.290000000000006</v>
          </cell>
        </row>
        <row r="534">
          <cell r="A534" t="str">
            <v>LAF262HD</v>
          </cell>
          <cell r="B534" t="str">
            <v>D</v>
          </cell>
          <cell r="C534">
            <v>50.91</v>
          </cell>
        </row>
        <row r="535">
          <cell r="A535" t="str">
            <v>LK262CA</v>
          </cell>
          <cell r="B535" t="str">
            <v>D</v>
          </cell>
          <cell r="C535">
            <v>41.07</v>
          </cell>
        </row>
        <row r="536">
          <cell r="A536" t="str">
            <v>LAF263</v>
          </cell>
          <cell r="B536" t="str">
            <v>D</v>
          </cell>
          <cell r="C536">
            <v>66.040000000000006</v>
          </cell>
        </row>
        <row r="537">
          <cell r="A537" t="str">
            <v>LAF263HD</v>
          </cell>
          <cell r="B537" t="str">
            <v>D</v>
          </cell>
          <cell r="C537">
            <v>64.91</v>
          </cell>
        </row>
        <row r="538">
          <cell r="A538" t="str">
            <v>LK263C</v>
          </cell>
          <cell r="B538" t="str">
            <v>D</v>
          </cell>
          <cell r="C538">
            <v>82.52</v>
          </cell>
        </row>
        <row r="539">
          <cell r="A539" t="str">
            <v>PC263</v>
          </cell>
          <cell r="B539" t="str">
            <v>D</v>
          </cell>
          <cell r="C539">
            <v>7.89</v>
          </cell>
        </row>
        <row r="540">
          <cell r="A540" t="str">
            <v>LAF264</v>
          </cell>
          <cell r="B540" t="str">
            <v>D</v>
          </cell>
          <cell r="C540">
            <v>35.090000000000003</v>
          </cell>
        </row>
        <row r="541">
          <cell r="A541" t="str">
            <v>LK264C</v>
          </cell>
          <cell r="B541" t="str">
            <v>D</v>
          </cell>
          <cell r="C541">
            <v>131.44</v>
          </cell>
        </row>
        <row r="542">
          <cell r="A542" t="str">
            <v>PC264</v>
          </cell>
          <cell r="B542" t="str">
            <v>D</v>
          </cell>
          <cell r="C542">
            <v>6.48</v>
          </cell>
        </row>
        <row r="543">
          <cell r="A543" t="str">
            <v>LAF265</v>
          </cell>
          <cell r="B543" t="str">
            <v>D</v>
          </cell>
          <cell r="C543">
            <v>64.8</v>
          </cell>
        </row>
        <row r="544">
          <cell r="A544" t="str">
            <v>LAF265HD</v>
          </cell>
          <cell r="B544" t="str">
            <v>D</v>
          </cell>
          <cell r="C544">
            <v>33.549999999999997</v>
          </cell>
        </row>
        <row r="545">
          <cell r="A545" t="str">
            <v>LK265F</v>
          </cell>
          <cell r="B545" t="str">
            <v>D</v>
          </cell>
          <cell r="C545">
            <v>57.03</v>
          </cell>
        </row>
        <row r="546">
          <cell r="A546" t="str">
            <v>PC265</v>
          </cell>
          <cell r="B546" t="str">
            <v>D</v>
          </cell>
          <cell r="C546">
            <v>7.82</v>
          </cell>
        </row>
        <row r="547">
          <cell r="A547" t="str">
            <v>LK266M</v>
          </cell>
          <cell r="B547" t="str">
            <v>D</v>
          </cell>
          <cell r="C547">
            <v>52.58</v>
          </cell>
        </row>
        <row r="548">
          <cell r="A548" t="str">
            <v>PC266</v>
          </cell>
          <cell r="B548" t="str">
            <v>D</v>
          </cell>
          <cell r="C548">
            <v>4.26</v>
          </cell>
        </row>
        <row r="549">
          <cell r="A549" t="str">
            <v>L267F</v>
          </cell>
          <cell r="B549" t="str">
            <v>D</v>
          </cell>
          <cell r="C549">
            <v>21.21</v>
          </cell>
        </row>
        <row r="550">
          <cell r="A550" t="str">
            <v>LK267M</v>
          </cell>
          <cell r="B550" t="str">
            <v>D</v>
          </cell>
          <cell r="C550">
            <v>49.84</v>
          </cell>
        </row>
        <row r="551">
          <cell r="A551" t="str">
            <v>LAF268</v>
          </cell>
          <cell r="B551" t="str">
            <v>D</v>
          </cell>
          <cell r="C551">
            <v>66.47</v>
          </cell>
        </row>
        <row r="552">
          <cell r="A552" t="str">
            <v>LK268M</v>
          </cell>
          <cell r="B552" t="str">
            <v>D</v>
          </cell>
          <cell r="C552">
            <v>40.340000000000003</v>
          </cell>
        </row>
        <row r="553">
          <cell r="A553" t="str">
            <v>PC268</v>
          </cell>
          <cell r="B553" t="str">
            <v>D</v>
          </cell>
          <cell r="C553">
            <v>10.34</v>
          </cell>
        </row>
        <row r="554">
          <cell r="A554" t="str">
            <v>LK269V</v>
          </cell>
          <cell r="B554" t="str">
            <v>D</v>
          </cell>
          <cell r="C554">
            <v>55.77</v>
          </cell>
        </row>
        <row r="555">
          <cell r="A555" t="str">
            <v>PC269</v>
          </cell>
          <cell r="B555" t="str">
            <v>D</v>
          </cell>
          <cell r="C555">
            <v>4.55</v>
          </cell>
        </row>
        <row r="556">
          <cell r="A556" t="str">
            <v>PC270</v>
          </cell>
          <cell r="B556" t="str">
            <v>D</v>
          </cell>
          <cell r="C556">
            <v>3.85</v>
          </cell>
        </row>
        <row r="557">
          <cell r="A557" t="str">
            <v>LK271V</v>
          </cell>
          <cell r="B557" t="str">
            <v>D</v>
          </cell>
          <cell r="C557">
            <v>109.07</v>
          </cell>
        </row>
        <row r="558">
          <cell r="A558" t="str">
            <v>PC271</v>
          </cell>
          <cell r="B558" t="str">
            <v>D</v>
          </cell>
          <cell r="C558">
            <v>6.31</v>
          </cell>
        </row>
        <row r="559">
          <cell r="A559" t="str">
            <v>PC272</v>
          </cell>
          <cell r="B559" t="str">
            <v>D</v>
          </cell>
          <cell r="C559">
            <v>6.35</v>
          </cell>
        </row>
        <row r="560">
          <cell r="A560" t="str">
            <v>PC273</v>
          </cell>
          <cell r="B560" t="str">
            <v>D</v>
          </cell>
          <cell r="C560">
            <v>7.72</v>
          </cell>
        </row>
        <row r="561">
          <cell r="A561" t="str">
            <v>L274F</v>
          </cell>
          <cell r="B561" t="str">
            <v>D</v>
          </cell>
          <cell r="C561">
            <v>8.5</v>
          </cell>
        </row>
        <row r="562">
          <cell r="A562" t="str">
            <v>L274F1</v>
          </cell>
          <cell r="B562" t="str">
            <v>D</v>
          </cell>
          <cell r="C562">
            <v>9.7799999999999994</v>
          </cell>
        </row>
        <row r="563">
          <cell r="A563" t="str">
            <v>LK274V</v>
          </cell>
          <cell r="B563" t="str">
            <v>D</v>
          </cell>
          <cell r="C563">
            <v>74.2</v>
          </cell>
        </row>
        <row r="564">
          <cell r="A564" t="str">
            <v>LK275D</v>
          </cell>
          <cell r="B564" t="str">
            <v>D</v>
          </cell>
          <cell r="C564">
            <v>37.6</v>
          </cell>
        </row>
        <row r="565">
          <cell r="A565" t="str">
            <v>PC275</v>
          </cell>
          <cell r="B565" t="str">
            <v>D</v>
          </cell>
          <cell r="C565">
            <v>7.89</v>
          </cell>
        </row>
        <row r="566">
          <cell r="A566" t="str">
            <v>LAF276</v>
          </cell>
          <cell r="B566" t="str">
            <v>D</v>
          </cell>
          <cell r="C566">
            <v>15.08</v>
          </cell>
        </row>
        <row r="567">
          <cell r="A567" t="str">
            <v>AF277</v>
          </cell>
          <cell r="B567" t="str">
            <v>D</v>
          </cell>
          <cell r="C567">
            <v>21.09</v>
          </cell>
        </row>
        <row r="568">
          <cell r="A568" t="str">
            <v>LK277D</v>
          </cell>
          <cell r="B568" t="str">
            <v>D</v>
          </cell>
          <cell r="C568">
            <v>61.19</v>
          </cell>
        </row>
        <row r="569">
          <cell r="A569" t="str">
            <v>AF278</v>
          </cell>
          <cell r="B569" t="str">
            <v>D</v>
          </cell>
          <cell r="C569">
            <v>8.27</v>
          </cell>
        </row>
        <row r="570">
          <cell r="A570" t="str">
            <v>LK278D</v>
          </cell>
          <cell r="B570" t="str">
            <v>D</v>
          </cell>
          <cell r="C570">
            <v>84.29</v>
          </cell>
        </row>
        <row r="571">
          <cell r="A571" t="str">
            <v>AF279</v>
          </cell>
          <cell r="B571" t="str">
            <v>D</v>
          </cell>
          <cell r="C571">
            <v>14.12</v>
          </cell>
        </row>
        <row r="572">
          <cell r="A572" t="str">
            <v>LK279CA</v>
          </cell>
          <cell r="B572" t="str">
            <v>D</v>
          </cell>
          <cell r="C572">
            <v>30.36</v>
          </cell>
        </row>
        <row r="573">
          <cell r="A573" t="str">
            <v>AF280</v>
          </cell>
          <cell r="B573" t="str">
            <v>D</v>
          </cell>
          <cell r="C573">
            <v>16.350000000000001</v>
          </cell>
        </row>
        <row r="574">
          <cell r="A574" t="str">
            <v>LK280CA</v>
          </cell>
          <cell r="B574" t="str">
            <v>D</v>
          </cell>
          <cell r="C574">
            <v>49.26</v>
          </cell>
        </row>
        <row r="575">
          <cell r="A575" t="str">
            <v>LAF281</v>
          </cell>
          <cell r="B575" t="str">
            <v>D</v>
          </cell>
          <cell r="C575">
            <v>28.24</v>
          </cell>
        </row>
        <row r="576">
          <cell r="A576" t="str">
            <v>LK281MB</v>
          </cell>
          <cell r="B576" t="str">
            <v>D</v>
          </cell>
          <cell r="C576">
            <v>60.76</v>
          </cell>
        </row>
        <row r="577">
          <cell r="A577" t="str">
            <v>LAF282</v>
          </cell>
          <cell r="B577" t="str">
            <v>D</v>
          </cell>
          <cell r="C577">
            <v>85.38</v>
          </cell>
        </row>
        <row r="578">
          <cell r="A578" t="str">
            <v>LK282MB</v>
          </cell>
          <cell r="B578" t="str">
            <v>D</v>
          </cell>
          <cell r="C578">
            <v>51.63</v>
          </cell>
        </row>
        <row r="579">
          <cell r="A579" t="str">
            <v>LK283D</v>
          </cell>
          <cell r="B579" t="str">
            <v>D</v>
          </cell>
          <cell r="C579">
            <v>52.53</v>
          </cell>
        </row>
        <row r="580">
          <cell r="A580" t="str">
            <v>PC283</v>
          </cell>
          <cell r="B580" t="str">
            <v>D</v>
          </cell>
          <cell r="C580">
            <v>7.03</v>
          </cell>
        </row>
        <row r="581">
          <cell r="A581" t="str">
            <v>LK284CA</v>
          </cell>
          <cell r="B581" t="str">
            <v>D</v>
          </cell>
          <cell r="C581">
            <v>59.13</v>
          </cell>
        </row>
        <row r="582">
          <cell r="A582" t="str">
            <v>LK285C</v>
          </cell>
          <cell r="B582" t="str">
            <v>D</v>
          </cell>
          <cell r="C582">
            <v>100.73</v>
          </cell>
        </row>
        <row r="583">
          <cell r="A583" t="str">
            <v>PC285</v>
          </cell>
          <cell r="B583" t="str">
            <v>D</v>
          </cell>
          <cell r="C583">
            <v>5.74</v>
          </cell>
        </row>
        <row r="584">
          <cell r="A584" t="str">
            <v>LK286DXL</v>
          </cell>
          <cell r="B584" t="str">
            <v>D</v>
          </cell>
          <cell r="C584">
            <v>119.51</v>
          </cell>
        </row>
        <row r="585">
          <cell r="A585" t="str">
            <v>PC286</v>
          </cell>
          <cell r="B585" t="str">
            <v>D</v>
          </cell>
          <cell r="C585">
            <v>4.63</v>
          </cell>
        </row>
        <row r="586">
          <cell r="A586" t="str">
            <v>LK287V</v>
          </cell>
          <cell r="B586" t="str">
            <v>D</v>
          </cell>
          <cell r="C586">
            <v>107.59</v>
          </cell>
        </row>
        <row r="587">
          <cell r="A587" t="str">
            <v>PC287</v>
          </cell>
          <cell r="B587" t="str">
            <v>D</v>
          </cell>
          <cell r="C587">
            <v>4.28</v>
          </cell>
        </row>
        <row r="588">
          <cell r="A588" t="str">
            <v>AF288</v>
          </cell>
          <cell r="B588" t="str">
            <v>D</v>
          </cell>
          <cell r="C588">
            <v>25.41</v>
          </cell>
        </row>
        <row r="589">
          <cell r="A589" t="str">
            <v>LK288V</v>
          </cell>
          <cell r="B589" t="str">
            <v>D</v>
          </cell>
          <cell r="C589">
            <v>63.59</v>
          </cell>
        </row>
        <row r="590">
          <cell r="A590" t="str">
            <v>AF289</v>
          </cell>
          <cell r="B590" t="str">
            <v>D</v>
          </cell>
          <cell r="C590">
            <v>29.08</v>
          </cell>
        </row>
        <row r="591">
          <cell r="A591" t="str">
            <v>LK289CA</v>
          </cell>
          <cell r="B591" t="str">
            <v>D</v>
          </cell>
          <cell r="C591">
            <v>86.34</v>
          </cell>
        </row>
        <row r="592">
          <cell r="A592" t="str">
            <v>LAF290A</v>
          </cell>
          <cell r="B592" t="str">
            <v>D</v>
          </cell>
          <cell r="C592">
            <v>68.62</v>
          </cell>
        </row>
        <row r="593">
          <cell r="A593" t="str">
            <v>LK290D</v>
          </cell>
          <cell r="B593" t="str">
            <v>D</v>
          </cell>
          <cell r="C593">
            <v>37.229999999999997</v>
          </cell>
        </row>
        <row r="594">
          <cell r="A594" t="str">
            <v>LK291D</v>
          </cell>
          <cell r="B594" t="str">
            <v>D</v>
          </cell>
          <cell r="C594">
            <v>63.91</v>
          </cell>
        </row>
        <row r="595">
          <cell r="A595" t="str">
            <v>LAF292</v>
          </cell>
          <cell r="B595" t="str">
            <v>B</v>
          </cell>
          <cell r="C595">
            <v>4.9800000000000004</v>
          </cell>
        </row>
        <row r="596">
          <cell r="A596" t="str">
            <v>LK292CA</v>
          </cell>
          <cell r="B596" t="str">
            <v>D</v>
          </cell>
          <cell r="C596">
            <v>53.6</v>
          </cell>
        </row>
        <row r="597">
          <cell r="A597" t="str">
            <v>AF293</v>
          </cell>
          <cell r="B597" t="str">
            <v>B</v>
          </cell>
          <cell r="C597">
            <v>14.95</v>
          </cell>
        </row>
        <row r="598">
          <cell r="A598" t="str">
            <v>LK293M</v>
          </cell>
          <cell r="B598" t="str">
            <v>D</v>
          </cell>
          <cell r="C598">
            <v>59.62</v>
          </cell>
        </row>
        <row r="599">
          <cell r="A599" t="str">
            <v>AF294</v>
          </cell>
          <cell r="B599" t="str">
            <v>D</v>
          </cell>
          <cell r="C599">
            <v>18.14</v>
          </cell>
        </row>
        <row r="600">
          <cell r="A600" t="str">
            <v>LK294CR</v>
          </cell>
          <cell r="B600" t="str">
            <v>D</v>
          </cell>
          <cell r="C600">
            <v>42.58</v>
          </cell>
        </row>
        <row r="601">
          <cell r="A601" t="str">
            <v>AF295</v>
          </cell>
          <cell r="B601" t="str">
            <v>D</v>
          </cell>
          <cell r="C601">
            <v>9.99</v>
          </cell>
        </row>
        <row r="602">
          <cell r="A602" t="str">
            <v>LK295C</v>
          </cell>
          <cell r="B602" t="str">
            <v>D</v>
          </cell>
          <cell r="C602">
            <v>140.75</v>
          </cell>
        </row>
        <row r="603">
          <cell r="A603" t="str">
            <v>AF296</v>
          </cell>
          <cell r="B603" t="str">
            <v>D</v>
          </cell>
          <cell r="C603">
            <v>12.39</v>
          </cell>
        </row>
        <row r="604">
          <cell r="A604" t="str">
            <v>L296F</v>
          </cell>
          <cell r="B604" t="str">
            <v>A</v>
          </cell>
          <cell r="C604">
            <v>6.46</v>
          </cell>
        </row>
        <row r="605">
          <cell r="A605" t="str">
            <v>LK296V</v>
          </cell>
          <cell r="B605" t="str">
            <v>D</v>
          </cell>
          <cell r="C605">
            <v>109.69</v>
          </cell>
        </row>
        <row r="606">
          <cell r="A606" t="str">
            <v>AF297</v>
          </cell>
          <cell r="B606" t="str">
            <v>D</v>
          </cell>
          <cell r="C606">
            <v>10.42</v>
          </cell>
        </row>
        <row r="607">
          <cell r="A607" t="str">
            <v>LK297M</v>
          </cell>
          <cell r="B607" t="str">
            <v>D</v>
          </cell>
          <cell r="C607">
            <v>73.56</v>
          </cell>
        </row>
        <row r="608">
          <cell r="A608" t="str">
            <v>AF298</v>
          </cell>
          <cell r="B608" t="str">
            <v>D</v>
          </cell>
          <cell r="C608">
            <v>9.7799999999999994</v>
          </cell>
        </row>
        <row r="609">
          <cell r="A609" t="str">
            <v>LK298D</v>
          </cell>
          <cell r="B609" t="str">
            <v>D</v>
          </cell>
          <cell r="C609">
            <v>113.55</v>
          </cell>
        </row>
        <row r="610">
          <cell r="A610" t="str">
            <v>AF299</v>
          </cell>
          <cell r="B610" t="str">
            <v>D</v>
          </cell>
          <cell r="C610">
            <v>10.47</v>
          </cell>
        </row>
        <row r="611">
          <cell r="A611" t="str">
            <v>LK299C</v>
          </cell>
          <cell r="B611" t="str">
            <v>D</v>
          </cell>
          <cell r="C611">
            <v>96.85</v>
          </cell>
        </row>
        <row r="612">
          <cell r="A612" t="str">
            <v>PH299</v>
          </cell>
          <cell r="B612" t="str">
            <v>B</v>
          </cell>
          <cell r="C612">
            <v>8.6300000000000008</v>
          </cell>
        </row>
        <row r="613">
          <cell r="A613" t="str">
            <v>LK300V</v>
          </cell>
          <cell r="B613" t="str">
            <v>D</v>
          </cell>
          <cell r="C613">
            <v>81.8</v>
          </cell>
        </row>
        <row r="614">
          <cell r="A614" t="str">
            <v>LK301D</v>
          </cell>
          <cell r="B614" t="str">
            <v>D</v>
          </cell>
          <cell r="C614">
            <v>38.5</v>
          </cell>
        </row>
        <row r="615">
          <cell r="A615" t="str">
            <v>PC301</v>
          </cell>
          <cell r="B615" t="str">
            <v>D</v>
          </cell>
          <cell r="C615">
            <v>5.52</v>
          </cell>
        </row>
        <row r="616">
          <cell r="A616" t="str">
            <v>AF302</v>
          </cell>
          <cell r="B616" t="str">
            <v>D</v>
          </cell>
          <cell r="C616">
            <v>12.35</v>
          </cell>
        </row>
        <row r="617">
          <cell r="A617" t="str">
            <v>LK302DF</v>
          </cell>
          <cell r="B617" t="str">
            <v>D</v>
          </cell>
          <cell r="C617">
            <v>140.74</v>
          </cell>
        </row>
        <row r="618">
          <cell r="A618" t="str">
            <v>LK303M</v>
          </cell>
          <cell r="B618" t="str">
            <v>D</v>
          </cell>
          <cell r="C618">
            <v>90.71</v>
          </cell>
        </row>
        <row r="619">
          <cell r="A619" t="str">
            <v>LK304CA</v>
          </cell>
          <cell r="B619" t="str">
            <v>D</v>
          </cell>
          <cell r="C619">
            <v>71.12</v>
          </cell>
        </row>
        <row r="620">
          <cell r="A620" t="str">
            <v>PC304</v>
          </cell>
          <cell r="B620" t="str">
            <v>D</v>
          </cell>
          <cell r="C620">
            <v>4.96</v>
          </cell>
        </row>
        <row r="621">
          <cell r="A621" t="str">
            <v>AF305</v>
          </cell>
          <cell r="B621" t="str">
            <v>D</v>
          </cell>
          <cell r="C621">
            <v>8.66</v>
          </cell>
        </row>
        <row r="622">
          <cell r="A622" t="str">
            <v>LK305GM</v>
          </cell>
          <cell r="B622" t="str">
            <v>D</v>
          </cell>
          <cell r="C622">
            <v>70.64</v>
          </cell>
        </row>
        <row r="623">
          <cell r="A623" t="str">
            <v>AF306</v>
          </cell>
          <cell r="B623" t="str">
            <v>D</v>
          </cell>
          <cell r="C623">
            <v>8.39</v>
          </cell>
        </row>
        <row r="624">
          <cell r="A624" t="str">
            <v>LK306C</v>
          </cell>
          <cell r="B624" t="str">
            <v>D</v>
          </cell>
          <cell r="C624">
            <v>102.59</v>
          </cell>
        </row>
        <row r="625">
          <cell r="A625" t="str">
            <v>AF307</v>
          </cell>
          <cell r="B625" t="str">
            <v>D</v>
          </cell>
          <cell r="C625">
            <v>8.34</v>
          </cell>
        </row>
        <row r="626">
          <cell r="A626" t="str">
            <v>G307</v>
          </cell>
          <cell r="B626" t="str">
            <v>D</v>
          </cell>
          <cell r="C626">
            <v>32.64</v>
          </cell>
        </row>
        <row r="627">
          <cell r="A627" t="str">
            <v>LK307C</v>
          </cell>
          <cell r="B627" t="str">
            <v>D</v>
          </cell>
          <cell r="C627">
            <v>141.69999999999999</v>
          </cell>
        </row>
        <row r="628">
          <cell r="A628" t="str">
            <v>AF308</v>
          </cell>
          <cell r="B628" t="str">
            <v>D</v>
          </cell>
          <cell r="C628">
            <v>17.71</v>
          </cell>
        </row>
        <row r="629">
          <cell r="A629" t="str">
            <v>LK308DF</v>
          </cell>
          <cell r="B629" t="str">
            <v>D</v>
          </cell>
          <cell r="C629">
            <v>114.54</v>
          </cell>
        </row>
        <row r="630">
          <cell r="A630" t="str">
            <v>LK309DF</v>
          </cell>
          <cell r="B630" t="str">
            <v>D</v>
          </cell>
          <cell r="C630">
            <v>158.49</v>
          </cell>
        </row>
        <row r="631">
          <cell r="A631" t="str">
            <v>G310</v>
          </cell>
          <cell r="B631" t="str">
            <v>D</v>
          </cell>
          <cell r="C631">
            <v>11.6</v>
          </cell>
        </row>
        <row r="632">
          <cell r="A632" t="str">
            <v>LAF310</v>
          </cell>
          <cell r="B632" t="str">
            <v>D</v>
          </cell>
          <cell r="C632">
            <v>81.12</v>
          </cell>
        </row>
        <row r="633">
          <cell r="A633" t="str">
            <v>LK310DF</v>
          </cell>
          <cell r="B633" t="str">
            <v>D</v>
          </cell>
          <cell r="C633">
            <v>218.31</v>
          </cell>
        </row>
        <row r="634">
          <cell r="A634" t="str">
            <v>AF311</v>
          </cell>
          <cell r="B634" t="str">
            <v>D</v>
          </cell>
          <cell r="C634">
            <v>12.98</v>
          </cell>
        </row>
        <row r="635">
          <cell r="A635" t="str">
            <v>LK311DF</v>
          </cell>
          <cell r="B635" t="str">
            <v>D</v>
          </cell>
          <cell r="C635">
            <v>135</v>
          </cell>
        </row>
        <row r="636">
          <cell r="A636" t="str">
            <v>AF312</v>
          </cell>
          <cell r="B636" t="str">
            <v>D</v>
          </cell>
          <cell r="C636">
            <v>15.91</v>
          </cell>
        </row>
        <row r="637">
          <cell r="A637" t="str">
            <v>LK312DF</v>
          </cell>
          <cell r="B637" t="str">
            <v>D</v>
          </cell>
          <cell r="C637">
            <v>119.83</v>
          </cell>
        </row>
        <row r="638">
          <cell r="A638" t="str">
            <v>AF313</v>
          </cell>
          <cell r="B638" t="str">
            <v>D</v>
          </cell>
          <cell r="C638">
            <v>21.43</v>
          </cell>
        </row>
        <row r="639">
          <cell r="A639" t="str">
            <v>LK313DF</v>
          </cell>
          <cell r="B639" t="str">
            <v>D</v>
          </cell>
          <cell r="C639">
            <v>132.66999999999999</v>
          </cell>
        </row>
        <row r="640">
          <cell r="A640" t="str">
            <v>AF315</v>
          </cell>
          <cell r="B640" t="str">
            <v>D</v>
          </cell>
          <cell r="C640">
            <v>7.93</v>
          </cell>
        </row>
        <row r="641">
          <cell r="A641" t="str">
            <v>LK315CA</v>
          </cell>
          <cell r="B641" t="str">
            <v>D</v>
          </cell>
          <cell r="C641">
            <v>102.88</v>
          </cell>
        </row>
        <row r="642">
          <cell r="A642" t="str">
            <v>AF316</v>
          </cell>
          <cell r="B642" t="str">
            <v>D</v>
          </cell>
          <cell r="C642">
            <v>15.45</v>
          </cell>
        </row>
        <row r="643">
          <cell r="A643" t="str">
            <v>LK316D</v>
          </cell>
          <cell r="B643" t="str">
            <v>D</v>
          </cell>
          <cell r="C643">
            <v>79.489999999999995</v>
          </cell>
        </row>
        <row r="644">
          <cell r="A644" t="str">
            <v>AF317</v>
          </cell>
          <cell r="B644" t="str">
            <v>D</v>
          </cell>
          <cell r="C644">
            <v>8.66</v>
          </cell>
        </row>
        <row r="645">
          <cell r="A645" t="str">
            <v>LK317C</v>
          </cell>
          <cell r="B645" t="str">
            <v>D</v>
          </cell>
          <cell r="C645">
            <v>108.4</v>
          </cell>
        </row>
        <row r="646">
          <cell r="A646" t="str">
            <v>AF318</v>
          </cell>
          <cell r="B646" t="str">
            <v>D</v>
          </cell>
          <cell r="C646">
            <v>9.5299999999999994</v>
          </cell>
        </row>
        <row r="647">
          <cell r="A647" t="str">
            <v>LK318DF</v>
          </cell>
          <cell r="B647" t="str">
            <v>D</v>
          </cell>
          <cell r="C647">
            <v>141.66999999999999</v>
          </cell>
        </row>
        <row r="648">
          <cell r="A648" t="str">
            <v>PC319</v>
          </cell>
          <cell r="B648" t="str">
            <v>D</v>
          </cell>
          <cell r="C648">
            <v>5.41</v>
          </cell>
        </row>
        <row r="649">
          <cell r="A649" t="str">
            <v>LK319DF</v>
          </cell>
          <cell r="B649" t="str">
            <v>D</v>
          </cell>
          <cell r="C649">
            <v>108.6</v>
          </cell>
        </row>
        <row r="650">
          <cell r="A650" t="str">
            <v>LAF320</v>
          </cell>
          <cell r="B650" t="str">
            <v>D</v>
          </cell>
          <cell r="C650">
            <v>79.400000000000006</v>
          </cell>
        </row>
        <row r="651">
          <cell r="A651" t="str">
            <v>LK320DF</v>
          </cell>
          <cell r="B651" t="str">
            <v>D</v>
          </cell>
          <cell r="C651">
            <v>121.1</v>
          </cell>
        </row>
        <row r="652">
          <cell r="A652" t="str">
            <v>AF321</v>
          </cell>
          <cell r="B652" t="str">
            <v>D</v>
          </cell>
          <cell r="C652">
            <v>11.74</v>
          </cell>
        </row>
        <row r="653">
          <cell r="A653" t="str">
            <v>AF322</v>
          </cell>
          <cell r="B653" t="str">
            <v>D</v>
          </cell>
          <cell r="C653">
            <v>17.53</v>
          </cell>
        </row>
        <row r="654">
          <cell r="A654" t="str">
            <v>LK322DF</v>
          </cell>
          <cell r="B654" t="str">
            <v>D</v>
          </cell>
          <cell r="C654">
            <v>109.7</v>
          </cell>
        </row>
        <row r="655">
          <cell r="A655" t="str">
            <v>LAF323</v>
          </cell>
          <cell r="B655" t="str">
            <v>D</v>
          </cell>
          <cell r="C655">
            <v>33.71</v>
          </cell>
        </row>
        <row r="656">
          <cell r="A656" t="str">
            <v>LK323DF</v>
          </cell>
          <cell r="B656" t="str">
            <v>D</v>
          </cell>
          <cell r="C656">
            <v>197.08</v>
          </cell>
        </row>
        <row r="657">
          <cell r="A657" t="str">
            <v>LK324DF</v>
          </cell>
          <cell r="B657" t="str">
            <v>D</v>
          </cell>
          <cell r="C657">
            <v>172.11</v>
          </cell>
        </row>
        <row r="658">
          <cell r="A658" t="str">
            <v>PC324</v>
          </cell>
          <cell r="B658" t="str">
            <v>D</v>
          </cell>
          <cell r="C658">
            <v>11.06</v>
          </cell>
        </row>
        <row r="659">
          <cell r="A659" t="str">
            <v>LK325DF</v>
          </cell>
          <cell r="B659" t="str">
            <v>D</v>
          </cell>
          <cell r="C659">
            <v>148.65</v>
          </cell>
        </row>
        <row r="660">
          <cell r="A660" t="str">
            <v>PC325</v>
          </cell>
          <cell r="B660" t="str">
            <v>D</v>
          </cell>
          <cell r="C660">
            <v>10.039999999999999</v>
          </cell>
        </row>
        <row r="661">
          <cell r="A661" t="str">
            <v>LK326DF</v>
          </cell>
          <cell r="B661" t="str">
            <v>D</v>
          </cell>
          <cell r="C661">
            <v>120.61</v>
          </cell>
        </row>
        <row r="662">
          <cell r="A662" t="str">
            <v>PC326</v>
          </cell>
          <cell r="B662" t="str">
            <v>D</v>
          </cell>
          <cell r="C662">
            <v>5.76</v>
          </cell>
        </row>
        <row r="663">
          <cell r="A663" t="str">
            <v>LK327DF</v>
          </cell>
          <cell r="B663" t="str">
            <v>D</v>
          </cell>
          <cell r="C663">
            <v>153.43</v>
          </cell>
        </row>
        <row r="664">
          <cell r="A664" t="str">
            <v>PC327</v>
          </cell>
          <cell r="B664" t="str">
            <v>D</v>
          </cell>
          <cell r="C664">
            <v>6.84</v>
          </cell>
        </row>
        <row r="665">
          <cell r="A665" t="str">
            <v>AF328</v>
          </cell>
          <cell r="B665" t="str">
            <v>D</v>
          </cell>
          <cell r="C665">
            <v>16.399999999999999</v>
          </cell>
        </row>
        <row r="666">
          <cell r="A666" t="str">
            <v>LK328DF</v>
          </cell>
          <cell r="B666" t="str">
            <v>D</v>
          </cell>
          <cell r="C666">
            <v>111.48</v>
          </cell>
        </row>
        <row r="667">
          <cell r="A667" t="str">
            <v>AF329</v>
          </cell>
          <cell r="B667" t="str">
            <v>D</v>
          </cell>
          <cell r="C667">
            <v>8.81</v>
          </cell>
        </row>
        <row r="668">
          <cell r="A668" t="str">
            <v>LK329M</v>
          </cell>
          <cell r="B668" t="str">
            <v>D</v>
          </cell>
          <cell r="C668">
            <v>93.99</v>
          </cell>
        </row>
        <row r="669">
          <cell r="A669" t="str">
            <v>LK330DF</v>
          </cell>
          <cell r="B669" t="str">
            <v>D</v>
          </cell>
          <cell r="C669">
            <v>103.83</v>
          </cell>
        </row>
        <row r="670">
          <cell r="A670" t="str">
            <v>AF331</v>
          </cell>
          <cell r="B670" t="str">
            <v>D</v>
          </cell>
          <cell r="C670">
            <v>9.24</v>
          </cell>
        </row>
        <row r="671">
          <cell r="A671" t="str">
            <v>LK331DF</v>
          </cell>
          <cell r="B671" t="str">
            <v>D</v>
          </cell>
          <cell r="C671">
            <v>193.34</v>
          </cell>
        </row>
        <row r="672">
          <cell r="A672" t="str">
            <v>AF332</v>
          </cell>
          <cell r="B672" t="str">
            <v>D</v>
          </cell>
          <cell r="C672">
            <v>8.5500000000000007</v>
          </cell>
        </row>
        <row r="673">
          <cell r="A673" t="str">
            <v>LK332DF</v>
          </cell>
          <cell r="B673" t="str">
            <v>D</v>
          </cell>
          <cell r="C673">
            <v>150.88</v>
          </cell>
        </row>
        <row r="674">
          <cell r="A674" t="str">
            <v>LK333DF</v>
          </cell>
          <cell r="B674" t="str">
            <v>D</v>
          </cell>
          <cell r="C674">
            <v>152.66</v>
          </cell>
        </row>
        <row r="675">
          <cell r="A675" t="str">
            <v>PC333</v>
          </cell>
          <cell r="B675" t="str">
            <v>D</v>
          </cell>
          <cell r="C675">
            <v>6.97</v>
          </cell>
        </row>
        <row r="676">
          <cell r="A676" t="str">
            <v>LAF334</v>
          </cell>
          <cell r="B676" t="str">
            <v>C</v>
          </cell>
          <cell r="C676">
            <v>43.68</v>
          </cell>
        </row>
        <row r="677">
          <cell r="A677" t="str">
            <v>LAF334MXM</v>
          </cell>
          <cell r="B677" t="str">
            <v>N</v>
          </cell>
          <cell r="C677">
            <v>65.099999999999994</v>
          </cell>
        </row>
        <row r="678">
          <cell r="A678" t="str">
            <v>LK334DF</v>
          </cell>
          <cell r="B678" t="str">
            <v>D</v>
          </cell>
          <cell r="C678">
            <v>101.64</v>
          </cell>
        </row>
        <row r="679">
          <cell r="A679" t="str">
            <v>LAF335</v>
          </cell>
          <cell r="B679" t="str">
            <v>D</v>
          </cell>
          <cell r="C679">
            <v>45.72</v>
          </cell>
        </row>
        <row r="680">
          <cell r="A680" t="str">
            <v>LK335DF</v>
          </cell>
          <cell r="B680" t="str">
            <v>D</v>
          </cell>
          <cell r="C680">
            <v>102.65</v>
          </cell>
        </row>
        <row r="681">
          <cell r="A681" t="str">
            <v>P335</v>
          </cell>
          <cell r="B681" t="str">
            <v>D</v>
          </cell>
          <cell r="C681">
            <v>8.98</v>
          </cell>
        </row>
        <row r="682">
          <cell r="A682" t="str">
            <v>LK336DF</v>
          </cell>
          <cell r="B682" t="str">
            <v>D</v>
          </cell>
          <cell r="C682">
            <v>111.52</v>
          </cell>
        </row>
        <row r="683">
          <cell r="A683" t="str">
            <v>PC336</v>
          </cell>
          <cell r="B683" t="str">
            <v>D</v>
          </cell>
          <cell r="C683">
            <v>7.03</v>
          </cell>
        </row>
        <row r="684">
          <cell r="A684" t="str">
            <v>LAF337</v>
          </cell>
          <cell r="B684" t="str">
            <v>D</v>
          </cell>
          <cell r="C684">
            <v>68.22</v>
          </cell>
        </row>
        <row r="685">
          <cell r="A685" t="str">
            <v>LK337DF</v>
          </cell>
          <cell r="B685" t="str">
            <v>D</v>
          </cell>
          <cell r="C685">
            <v>174.04</v>
          </cell>
        </row>
        <row r="686">
          <cell r="A686" t="str">
            <v>LK338C</v>
          </cell>
          <cell r="B686" t="str">
            <v>D</v>
          </cell>
          <cell r="C686">
            <v>176.64</v>
          </cell>
        </row>
        <row r="687">
          <cell r="A687" t="str">
            <v>PC338</v>
          </cell>
          <cell r="B687" t="str">
            <v>D</v>
          </cell>
          <cell r="C687">
            <v>8.8699999999999992</v>
          </cell>
        </row>
        <row r="688">
          <cell r="A688" t="str">
            <v>LK339C</v>
          </cell>
          <cell r="B688" t="str">
            <v>D</v>
          </cell>
          <cell r="C688">
            <v>94.54</v>
          </cell>
        </row>
        <row r="689">
          <cell r="A689" t="str">
            <v>PC339</v>
          </cell>
          <cell r="B689" t="str">
            <v>D</v>
          </cell>
          <cell r="C689">
            <v>4.72</v>
          </cell>
        </row>
        <row r="690">
          <cell r="A690" t="str">
            <v>A340</v>
          </cell>
          <cell r="B690" t="str">
            <v>D</v>
          </cell>
          <cell r="C690">
            <v>83.21</v>
          </cell>
        </row>
        <row r="691">
          <cell r="A691" t="str">
            <v>LAF340</v>
          </cell>
          <cell r="B691" t="str">
            <v>D</v>
          </cell>
          <cell r="C691">
            <v>50.16</v>
          </cell>
        </row>
        <row r="692">
          <cell r="A692" t="str">
            <v>LK340C</v>
          </cell>
          <cell r="B692" t="str">
            <v>D</v>
          </cell>
          <cell r="C692">
            <v>86.49</v>
          </cell>
        </row>
        <row r="693">
          <cell r="A693" t="str">
            <v>AF341</v>
          </cell>
          <cell r="B693" t="str">
            <v>D</v>
          </cell>
          <cell r="C693">
            <v>10.24</v>
          </cell>
        </row>
        <row r="694">
          <cell r="A694" t="str">
            <v>G341</v>
          </cell>
          <cell r="B694" t="str">
            <v>D</v>
          </cell>
          <cell r="C694">
            <v>6.63</v>
          </cell>
        </row>
        <row r="695">
          <cell r="A695" t="str">
            <v>LK341M</v>
          </cell>
          <cell r="B695" t="str">
            <v>D</v>
          </cell>
          <cell r="C695">
            <v>86.27</v>
          </cell>
        </row>
        <row r="696">
          <cell r="A696" t="str">
            <v>AF342</v>
          </cell>
          <cell r="B696" t="str">
            <v>D</v>
          </cell>
          <cell r="C696">
            <v>9.32</v>
          </cell>
        </row>
        <row r="697">
          <cell r="A697" t="str">
            <v>G342</v>
          </cell>
          <cell r="B697" t="str">
            <v>D</v>
          </cell>
          <cell r="C697">
            <v>5.29</v>
          </cell>
        </row>
        <row r="698">
          <cell r="A698" t="str">
            <v>LK342M</v>
          </cell>
          <cell r="B698" t="str">
            <v>D</v>
          </cell>
          <cell r="C698">
            <v>85.08</v>
          </cell>
        </row>
        <row r="699">
          <cell r="A699" t="str">
            <v>AF343</v>
          </cell>
          <cell r="B699" t="str">
            <v>D</v>
          </cell>
          <cell r="C699">
            <v>15.12</v>
          </cell>
        </row>
        <row r="700">
          <cell r="A700" t="str">
            <v>G343</v>
          </cell>
          <cell r="B700" t="str">
            <v>D</v>
          </cell>
          <cell r="C700">
            <v>9.6199999999999992</v>
          </cell>
        </row>
        <row r="701">
          <cell r="A701" t="str">
            <v>LK343DXL</v>
          </cell>
          <cell r="B701" t="str">
            <v>D</v>
          </cell>
          <cell r="C701">
            <v>137.65</v>
          </cell>
        </row>
        <row r="702">
          <cell r="A702" t="str">
            <v>G344</v>
          </cell>
          <cell r="B702" t="str">
            <v>D</v>
          </cell>
          <cell r="C702">
            <v>15.84</v>
          </cell>
        </row>
        <row r="703">
          <cell r="A703" t="str">
            <v>LK345CA</v>
          </cell>
          <cell r="B703" t="str">
            <v>D</v>
          </cell>
          <cell r="C703">
            <v>91.72</v>
          </cell>
        </row>
        <row r="704">
          <cell r="A704" t="str">
            <v>PC345</v>
          </cell>
          <cell r="B704" t="str">
            <v>D</v>
          </cell>
          <cell r="C704">
            <v>6.76</v>
          </cell>
        </row>
        <row r="705">
          <cell r="A705" t="str">
            <v>LK346M</v>
          </cell>
          <cell r="B705" t="str">
            <v>D</v>
          </cell>
          <cell r="C705">
            <v>96.03</v>
          </cell>
        </row>
        <row r="706">
          <cell r="A706" t="str">
            <v>P346</v>
          </cell>
          <cell r="B706" t="str">
            <v>D</v>
          </cell>
          <cell r="C706">
            <v>10.39</v>
          </cell>
        </row>
        <row r="707">
          <cell r="A707" t="str">
            <v>PC347</v>
          </cell>
          <cell r="B707" t="str">
            <v>D</v>
          </cell>
          <cell r="C707">
            <v>8.69</v>
          </cell>
        </row>
        <row r="708">
          <cell r="A708" t="str">
            <v>AF348</v>
          </cell>
          <cell r="B708" t="str">
            <v>D</v>
          </cell>
          <cell r="C708">
            <v>8.1300000000000008</v>
          </cell>
        </row>
        <row r="709">
          <cell r="A709" t="str">
            <v>PC349</v>
          </cell>
          <cell r="B709" t="str">
            <v>D</v>
          </cell>
          <cell r="C709">
            <v>4.6500000000000004</v>
          </cell>
        </row>
        <row r="710">
          <cell r="A710" t="str">
            <v>AF350</v>
          </cell>
          <cell r="B710" t="str">
            <v>D</v>
          </cell>
          <cell r="C710">
            <v>25.18</v>
          </cell>
        </row>
        <row r="711">
          <cell r="A711" t="str">
            <v>AF351</v>
          </cell>
          <cell r="B711" t="str">
            <v>D</v>
          </cell>
          <cell r="C711">
            <v>17.809999999999999</v>
          </cell>
        </row>
        <row r="712">
          <cell r="A712" t="str">
            <v>LK351M</v>
          </cell>
          <cell r="B712" t="str">
            <v>D</v>
          </cell>
          <cell r="C712">
            <v>62.69</v>
          </cell>
        </row>
        <row r="713">
          <cell r="A713" t="str">
            <v>LK352CA</v>
          </cell>
          <cell r="B713" t="str">
            <v>D</v>
          </cell>
          <cell r="C713">
            <v>54.98</v>
          </cell>
        </row>
        <row r="714">
          <cell r="A714" t="str">
            <v>LK353M</v>
          </cell>
          <cell r="B714" t="str">
            <v>D</v>
          </cell>
          <cell r="C714">
            <v>72.91</v>
          </cell>
        </row>
        <row r="715">
          <cell r="A715" t="str">
            <v>AF354</v>
          </cell>
          <cell r="B715" t="str">
            <v>D</v>
          </cell>
          <cell r="C715">
            <v>33.5</v>
          </cell>
        </row>
        <row r="716">
          <cell r="A716" t="str">
            <v>LK354C</v>
          </cell>
          <cell r="B716" t="str">
            <v>D</v>
          </cell>
          <cell r="C716">
            <v>108.77</v>
          </cell>
        </row>
        <row r="717">
          <cell r="A717" t="str">
            <v>AF355</v>
          </cell>
          <cell r="B717" t="str">
            <v>D</v>
          </cell>
          <cell r="C717">
            <v>16.64</v>
          </cell>
        </row>
        <row r="718">
          <cell r="A718" t="str">
            <v>LK355DF</v>
          </cell>
          <cell r="B718" t="str">
            <v>D</v>
          </cell>
          <cell r="C718">
            <v>169.19</v>
          </cell>
        </row>
        <row r="719">
          <cell r="A719" t="str">
            <v>LK356DF</v>
          </cell>
          <cell r="B719" t="str">
            <v>D</v>
          </cell>
          <cell r="C719">
            <v>114</v>
          </cell>
        </row>
        <row r="720">
          <cell r="A720" t="str">
            <v>PC356</v>
          </cell>
          <cell r="B720" t="str">
            <v>D</v>
          </cell>
          <cell r="C720">
            <v>4.74</v>
          </cell>
        </row>
        <row r="721">
          <cell r="A721" t="str">
            <v>AF357</v>
          </cell>
          <cell r="B721" t="str">
            <v>D</v>
          </cell>
          <cell r="C721">
            <v>19.48</v>
          </cell>
        </row>
        <row r="722">
          <cell r="A722" t="str">
            <v>AF358</v>
          </cell>
          <cell r="B722" t="str">
            <v>D</v>
          </cell>
          <cell r="C722">
            <v>22.78</v>
          </cell>
        </row>
        <row r="723">
          <cell r="A723" t="str">
            <v>LK358DF</v>
          </cell>
          <cell r="B723" t="str">
            <v>D</v>
          </cell>
          <cell r="C723">
            <v>195.94</v>
          </cell>
        </row>
        <row r="724">
          <cell r="A724" t="str">
            <v>AF359</v>
          </cell>
          <cell r="B724" t="str">
            <v>D</v>
          </cell>
          <cell r="C724">
            <v>21.83</v>
          </cell>
        </row>
        <row r="725">
          <cell r="A725" t="str">
            <v>LK359DF</v>
          </cell>
          <cell r="B725" t="str">
            <v>D</v>
          </cell>
          <cell r="C725">
            <v>222.23</v>
          </cell>
        </row>
        <row r="726">
          <cell r="A726" t="str">
            <v>AF360</v>
          </cell>
          <cell r="B726" t="str">
            <v>D</v>
          </cell>
          <cell r="C726">
            <v>20.88</v>
          </cell>
        </row>
        <row r="727">
          <cell r="A727" t="str">
            <v>LK360DF</v>
          </cell>
          <cell r="B727" t="str">
            <v>D</v>
          </cell>
          <cell r="C727">
            <v>147.91999999999999</v>
          </cell>
        </row>
        <row r="728">
          <cell r="A728" t="str">
            <v>AF361</v>
          </cell>
          <cell r="B728" t="str">
            <v>D</v>
          </cell>
          <cell r="C728">
            <v>19.95</v>
          </cell>
        </row>
        <row r="729">
          <cell r="A729" t="str">
            <v>LK361CA</v>
          </cell>
          <cell r="B729" t="str">
            <v>D</v>
          </cell>
          <cell r="C729">
            <v>68.55</v>
          </cell>
        </row>
        <row r="730">
          <cell r="A730" t="str">
            <v>AF363</v>
          </cell>
          <cell r="B730" t="str">
            <v>D</v>
          </cell>
          <cell r="C730">
            <v>39.08</v>
          </cell>
        </row>
        <row r="731">
          <cell r="A731" t="str">
            <v>LK363T</v>
          </cell>
          <cell r="B731" t="str">
            <v>N</v>
          </cell>
          <cell r="C731">
            <v>45.51</v>
          </cell>
        </row>
        <row r="732">
          <cell r="A732" t="str">
            <v>364F</v>
          </cell>
          <cell r="B732" t="str">
            <v>C</v>
          </cell>
          <cell r="C732">
            <v>8.76</v>
          </cell>
        </row>
        <row r="733">
          <cell r="A733" t="str">
            <v>LK364M</v>
          </cell>
          <cell r="B733" t="str">
            <v>N</v>
          </cell>
          <cell r="C733">
            <v>94.15</v>
          </cell>
        </row>
        <row r="734">
          <cell r="A734" t="str">
            <v>LK365D</v>
          </cell>
          <cell r="B734" t="str">
            <v>N</v>
          </cell>
          <cell r="C734">
            <v>243.23</v>
          </cell>
        </row>
        <row r="735">
          <cell r="A735" t="str">
            <v>PC365</v>
          </cell>
          <cell r="B735" t="str">
            <v>D</v>
          </cell>
          <cell r="C735">
            <v>3.76</v>
          </cell>
        </row>
        <row r="736">
          <cell r="A736" t="str">
            <v>AF366</v>
          </cell>
          <cell r="B736" t="str">
            <v>D</v>
          </cell>
          <cell r="C736">
            <v>15.86</v>
          </cell>
        </row>
        <row r="737">
          <cell r="A737" t="str">
            <v>LK366C</v>
          </cell>
          <cell r="B737" t="str">
            <v>N</v>
          </cell>
          <cell r="C737">
            <v>107.65</v>
          </cell>
        </row>
        <row r="738">
          <cell r="A738" t="str">
            <v>AF367</v>
          </cell>
          <cell r="B738" t="str">
            <v>D</v>
          </cell>
          <cell r="C738">
            <v>31.05</v>
          </cell>
        </row>
        <row r="739">
          <cell r="A739" t="str">
            <v>LK367C</v>
          </cell>
          <cell r="B739" t="str">
            <v>N</v>
          </cell>
          <cell r="C739">
            <v>111.11</v>
          </cell>
        </row>
        <row r="740">
          <cell r="A740" t="str">
            <v>AF368</v>
          </cell>
          <cell r="B740" t="str">
            <v>B</v>
          </cell>
          <cell r="C740">
            <v>18</v>
          </cell>
        </row>
        <row r="741">
          <cell r="A741" t="str">
            <v>LK368CA</v>
          </cell>
          <cell r="B741" t="str">
            <v>N</v>
          </cell>
          <cell r="C741">
            <v>36.79</v>
          </cell>
        </row>
        <row r="742">
          <cell r="A742" t="str">
            <v>LK369C</v>
          </cell>
          <cell r="B742" t="str">
            <v>N</v>
          </cell>
          <cell r="C742">
            <v>42.45</v>
          </cell>
        </row>
        <row r="743">
          <cell r="A743" t="str">
            <v>AF370</v>
          </cell>
          <cell r="B743" t="str">
            <v>D</v>
          </cell>
          <cell r="C743">
            <v>17.2</v>
          </cell>
        </row>
        <row r="744">
          <cell r="A744" t="str">
            <v>LK370C</v>
          </cell>
          <cell r="B744" t="str">
            <v>N</v>
          </cell>
          <cell r="C744">
            <v>95.54</v>
          </cell>
        </row>
        <row r="745">
          <cell r="A745" t="str">
            <v>AF371</v>
          </cell>
          <cell r="B745" t="str">
            <v>D</v>
          </cell>
          <cell r="C745">
            <v>14.09</v>
          </cell>
        </row>
        <row r="746">
          <cell r="A746" t="str">
            <v>AF372</v>
          </cell>
          <cell r="B746" t="str">
            <v>D</v>
          </cell>
          <cell r="C746">
            <v>27.04</v>
          </cell>
        </row>
        <row r="747">
          <cell r="A747" t="str">
            <v>LK372V</v>
          </cell>
          <cell r="B747" t="str">
            <v>N</v>
          </cell>
          <cell r="C747">
            <v>112.6</v>
          </cell>
        </row>
        <row r="748">
          <cell r="A748" t="str">
            <v>PC373</v>
          </cell>
          <cell r="B748" t="str">
            <v>D</v>
          </cell>
          <cell r="C748">
            <v>6.41</v>
          </cell>
        </row>
        <row r="749">
          <cell r="A749" t="str">
            <v>AF374</v>
          </cell>
          <cell r="B749" t="str">
            <v>D</v>
          </cell>
          <cell r="C749">
            <v>33.270000000000003</v>
          </cell>
        </row>
        <row r="750">
          <cell r="A750" t="str">
            <v>AF375</v>
          </cell>
          <cell r="B750" t="str">
            <v>D</v>
          </cell>
          <cell r="C750">
            <v>23.67</v>
          </cell>
        </row>
        <row r="751">
          <cell r="A751" t="str">
            <v>AF376</v>
          </cell>
          <cell r="B751" t="str">
            <v>D</v>
          </cell>
          <cell r="C751">
            <v>17.2</v>
          </cell>
        </row>
        <row r="752">
          <cell r="A752" t="str">
            <v>AF377</v>
          </cell>
          <cell r="B752" t="str">
            <v>D</v>
          </cell>
          <cell r="C752">
            <v>16.190000000000001</v>
          </cell>
        </row>
        <row r="753">
          <cell r="A753" t="str">
            <v>AF378</v>
          </cell>
          <cell r="B753" t="str">
            <v>D</v>
          </cell>
          <cell r="C753">
            <v>50.1</v>
          </cell>
        </row>
        <row r="754">
          <cell r="A754" t="str">
            <v>LAF379</v>
          </cell>
          <cell r="B754" t="str">
            <v>D</v>
          </cell>
          <cell r="C754">
            <v>91.33</v>
          </cell>
        </row>
        <row r="755">
          <cell r="A755" t="str">
            <v>AF380</v>
          </cell>
          <cell r="B755" t="str">
            <v>D</v>
          </cell>
          <cell r="C755">
            <v>37.04</v>
          </cell>
        </row>
        <row r="756">
          <cell r="A756" t="str">
            <v>AF381</v>
          </cell>
          <cell r="B756" t="str">
            <v>D</v>
          </cell>
          <cell r="C756">
            <v>24.68</v>
          </cell>
        </row>
        <row r="757">
          <cell r="A757" t="str">
            <v>AF382</v>
          </cell>
          <cell r="B757" t="str">
            <v>D</v>
          </cell>
          <cell r="C757">
            <v>15.69</v>
          </cell>
        </row>
        <row r="758">
          <cell r="A758" t="str">
            <v>AF383</v>
          </cell>
          <cell r="B758" t="str">
            <v>D</v>
          </cell>
          <cell r="C758">
            <v>17.89</v>
          </cell>
        </row>
        <row r="759">
          <cell r="A759" t="str">
            <v>PC384</v>
          </cell>
          <cell r="B759" t="str">
            <v>D</v>
          </cell>
          <cell r="C759">
            <v>4.8600000000000003</v>
          </cell>
        </row>
        <row r="760">
          <cell r="A760" t="str">
            <v>AF385</v>
          </cell>
          <cell r="B760" t="str">
            <v>D</v>
          </cell>
          <cell r="C760">
            <v>40.549999999999997</v>
          </cell>
        </row>
        <row r="761">
          <cell r="A761" t="str">
            <v>AF386</v>
          </cell>
          <cell r="B761" t="str">
            <v>D</v>
          </cell>
          <cell r="C761">
            <v>13.54</v>
          </cell>
        </row>
        <row r="762">
          <cell r="A762" t="str">
            <v>AF387</v>
          </cell>
          <cell r="B762" t="str">
            <v>D</v>
          </cell>
          <cell r="C762">
            <v>25.32</v>
          </cell>
        </row>
        <row r="763">
          <cell r="A763" t="str">
            <v>LAF388</v>
          </cell>
          <cell r="B763" t="str">
            <v>D</v>
          </cell>
          <cell r="C763">
            <v>14.96</v>
          </cell>
        </row>
        <row r="764">
          <cell r="A764" t="str">
            <v>LAF388B</v>
          </cell>
          <cell r="B764" t="str">
            <v>D</v>
          </cell>
          <cell r="C764">
            <v>23.16</v>
          </cell>
        </row>
        <row r="765">
          <cell r="A765" t="str">
            <v>AF389</v>
          </cell>
          <cell r="B765" t="str">
            <v>D</v>
          </cell>
          <cell r="C765">
            <v>24.62</v>
          </cell>
        </row>
        <row r="766">
          <cell r="A766" t="str">
            <v>AF390</v>
          </cell>
          <cell r="B766" t="str">
            <v>D</v>
          </cell>
          <cell r="C766">
            <v>14.27</v>
          </cell>
        </row>
        <row r="767">
          <cell r="A767" t="str">
            <v>PC391</v>
          </cell>
          <cell r="B767" t="str">
            <v>D</v>
          </cell>
          <cell r="C767">
            <v>4.6500000000000004</v>
          </cell>
        </row>
        <row r="768">
          <cell r="A768" t="str">
            <v>PC393</v>
          </cell>
          <cell r="B768" t="str">
            <v>D</v>
          </cell>
          <cell r="C768">
            <v>9.15</v>
          </cell>
        </row>
        <row r="769">
          <cell r="A769" t="str">
            <v>AF394</v>
          </cell>
          <cell r="B769" t="str">
            <v>D</v>
          </cell>
          <cell r="C769">
            <v>30.75</v>
          </cell>
        </row>
        <row r="770">
          <cell r="A770" t="str">
            <v>AF396</v>
          </cell>
          <cell r="B770" t="str">
            <v>D</v>
          </cell>
          <cell r="C770">
            <v>24.15</v>
          </cell>
        </row>
        <row r="771">
          <cell r="A771" t="str">
            <v>AF397</v>
          </cell>
          <cell r="B771" t="str">
            <v>D</v>
          </cell>
          <cell r="C771">
            <v>100.96</v>
          </cell>
        </row>
        <row r="772">
          <cell r="A772" t="str">
            <v>LAF398</v>
          </cell>
          <cell r="B772" t="str">
            <v>D</v>
          </cell>
          <cell r="C772">
            <v>82.23</v>
          </cell>
        </row>
        <row r="773">
          <cell r="A773" t="str">
            <v>AF399</v>
          </cell>
          <cell r="B773" t="str">
            <v>D</v>
          </cell>
          <cell r="C773">
            <v>35.08</v>
          </cell>
        </row>
        <row r="774">
          <cell r="A774" t="str">
            <v>PH400</v>
          </cell>
          <cell r="B774" t="str">
            <v>A</v>
          </cell>
          <cell r="C774">
            <v>6.09</v>
          </cell>
        </row>
        <row r="775">
          <cell r="A775" t="str">
            <v>PH400M</v>
          </cell>
          <cell r="B775" t="str">
            <v>N</v>
          </cell>
          <cell r="C775">
            <v>7.24</v>
          </cell>
        </row>
        <row r="776">
          <cell r="A776" t="str">
            <v>AF401</v>
          </cell>
          <cell r="B776" t="str">
            <v>D</v>
          </cell>
          <cell r="C776">
            <v>13.54</v>
          </cell>
        </row>
        <row r="777">
          <cell r="A777" t="str">
            <v>AF402</v>
          </cell>
          <cell r="B777" t="str">
            <v>D</v>
          </cell>
          <cell r="C777">
            <v>24.74</v>
          </cell>
        </row>
        <row r="778">
          <cell r="A778" t="str">
            <v>PC403</v>
          </cell>
          <cell r="B778" t="str">
            <v>D</v>
          </cell>
          <cell r="C778">
            <v>9.35</v>
          </cell>
        </row>
        <row r="779">
          <cell r="A779" t="str">
            <v>AF404</v>
          </cell>
          <cell r="B779" t="str">
            <v>D</v>
          </cell>
          <cell r="C779">
            <v>13.6</v>
          </cell>
        </row>
        <row r="780">
          <cell r="A780" t="str">
            <v>AF405</v>
          </cell>
          <cell r="B780" t="str">
            <v>D</v>
          </cell>
          <cell r="C780">
            <v>39.33</v>
          </cell>
        </row>
        <row r="781">
          <cell r="A781" t="str">
            <v>PC406</v>
          </cell>
          <cell r="B781" t="str">
            <v>D</v>
          </cell>
          <cell r="C781">
            <v>7.63</v>
          </cell>
        </row>
        <row r="782">
          <cell r="A782" t="str">
            <v>AF408</v>
          </cell>
          <cell r="B782" t="str">
            <v>D</v>
          </cell>
          <cell r="C782">
            <v>84.48</v>
          </cell>
        </row>
        <row r="783">
          <cell r="A783" t="str">
            <v>AF409</v>
          </cell>
          <cell r="B783" t="str">
            <v>D</v>
          </cell>
          <cell r="C783">
            <v>9.43</v>
          </cell>
        </row>
        <row r="784">
          <cell r="A784" t="str">
            <v>PC410</v>
          </cell>
          <cell r="B784" t="str">
            <v>D</v>
          </cell>
          <cell r="C784">
            <v>4.13</v>
          </cell>
        </row>
        <row r="785">
          <cell r="A785" t="str">
            <v>AF411</v>
          </cell>
          <cell r="B785" t="str">
            <v>D</v>
          </cell>
          <cell r="C785">
            <v>10.45</v>
          </cell>
        </row>
        <row r="786">
          <cell r="A786" t="str">
            <v>AF412</v>
          </cell>
          <cell r="B786" t="str">
            <v>D</v>
          </cell>
          <cell r="C786">
            <v>43.42</v>
          </cell>
        </row>
        <row r="787">
          <cell r="A787" t="str">
            <v>PC413</v>
          </cell>
          <cell r="B787" t="str">
            <v>D</v>
          </cell>
          <cell r="C787">
            <v>17.55</v>
          </cell>
        </row>
        <row r="788">
          <cell r="A788" t="str">
            <v>LAF414</v>
          </cell>
          <cell r="B788" t="str">
            <v>D</v>
          </cell>
          <cell r="C788">
            <v>33.380000000000003</v>
          </cell>
        </row>
        <row r="789">
          <cell r="A789" t="str">
            <v>T414</v>
          </cell>
          <cell r="B789" t="str">
            <v>D</v>
          </cell>
          <cell r="C789">
            <v>8.86</v>
          </cell>
        </row>
        <row r="790">
          <cell r="A790" t="str">
            <v>AF415</v>
          </cell>
          <cell r="B790" t="str">
            <v>D</v>
          </cell>
          <cell r="C790">
            <v>22.06</v>
          </cell>
        </row>
        <row r="791">
          <cell r="A791" t="str">
            <v>T415</v>
          </cell>
          <cell r="B791" t="str">
            <v>D</v>
          </cell>
          <cell r="C791">
            <v>8.16</v>
          </cell>
        </row>
        <row r="792">
          <cell r="A792" t="str">
            <v>PC416</v>
          </cell>
          <cell r="B792" t="str">
            <v>D</v>
          </cell>
          <cell r="C792">
            <v>5.39</v>
          </cell>
        </row>
        <row r="793">
          <cell r="A793" t="str">
            <v>AF417</v>
          </cell>
          <cell r="B793" t="str">
            <v>D</v>
          </cell>
          <cell r="C793">
            <v>28.94</v>
          </cell>
        </row>
        <row r="794">
          <cell r="A794" t="str">
            <v>PC420</v>
          </cell>
          <cell r="B794" t="str">
            <v>D</v>
          </cell>
          <cell r="C794">
            <v>9.73</v>
          </cell>
        </row>
        <row r="795">
          <cell r="A795" t="str">
            <v>P422</v>
          </cell>
          <cell r="B795" t="str">
            <v>D</v>
          </cell>
          <cell r="C795">
            <v>24.3</v>
          </cell>
        </row>
        <row r="796">
          <cell r="A796" t="str">
            <v>AF423</v>
          </cell>
          <cell r="B796" t="str">
            <v>D</v>
          </cell>
          <cell r="C796">
            <v>22.24</v>
          </cell>
        </row>
        <row r="797">
          <cell r="A797" t="str">
            <v>PC429</v>
          </cell>
          <cell r="B797" t="str">
            <v>D</v>
          </cell>
          <cell r="C797">
            <v>11.24</v>
          </cell>
        </row>
        <row r="798">
          <cell r="A798" t="str">
            <v>LAF431</v>
          </cell>
          <cell r="B798" t="str">
            <v>D</v>
          </cell>
          <cell r="C798">
            <v>85.69</v>
          </cell>
        </row>
        <row r="799">
          <cell r="A799" t="str">
            <v>LFP431F</v>
          </cell>
          <cell r="B799" t="str">
            <v>B</v>
          </cell>
          <cell r="C799">
            <v>12.84</v>
          </cell>
        </row>
        <row r="800">
          <cell r="A800" t="str">
            <v>AF432</v>
          </cell>
          <cell r="B800" t="str">
            <v>D</v>
          </cell>
          <cell r="C800">
            <v>13.57</v>
          </cell>
        </row>
        <row r="801">
          <cell r="A801" t="str">
            <v>PC433</v>
          </cell>
          <cell r="B801" t="str">
            <v>D</v>
          </cell>
          <cell r="C801">
            <v>9.35</v>
          </cell>
        </row>
        <row r="802">
          <cell r="A802" t="str">
            <v>PC434</v>
          </cell>
          <cell r="B802" t="str">
            <v>D</v>
          </cell>
          <cell r="C802">
            <v>8.27</v>
          </cell>
        </row>
        <row r="803">
          <cell r="A803" t="str">
            <v>PC435</v>
          </cell>
          <cell r="B803" t="str">
            <v>D</v>
          </cell>
          <cell r="C803">
            <v>9.18</v>
          </cell>
        </row>
        <row r="804">
          <cell r="A804" t="str">
            <v>PC436</v>
          </cell>
          <cell r="B804" t="str">
            <v>D</v>
          </cell>
          <cell r="C804">
            <v>9.18</v>
          </cell>
        </row>
        <row r="805">
          <cell r="A805" t="str">
            <v>PC437</v>
          </cell>
          <cell r="B805" t="str">
            <v>D</v>
          </cell>
          <cell r="C805">
            <v>9.4700000000000006</v>
          </cell>
        </row>
        <row r="806">
          <cell r="A806" t="str">
            <v>PC438</v>
          </cell>
          <cell r="B806" t="str">
            <v>D</v>
          </cell>
          <cell r="C806">
            <v>8.1300000000000008</v>
          </cell>
        </row>
        <row r="807">
          <cell r="A807" t="str">
            <v>LFP440F</v>
          </cell>
          <cell r="B807" t="str">
            <v>A</v>
          </cell>
          <cell r="C807">
            <v>7.15</v>
          </cell>
        </row>
        <row r="808">
          <cell r="A808" t="str">
            <v>G441</v>
          </cell>
          <cell r="B808" t="str">
            <v>D</v>
          </cell>
          <cell r="C808">
            <v>4.34</v>
          </cell>
        </row>
        <row r="809">
          <cell r="A809" t="str">
            <v>PC442</v>
          </cell>
          <cell r="B809" t="str">
            <v>D</v>
          </cell>
          <cell r="C809">
            <v>5.76</v>
          </cell>
        </row>
        <row r="810">
          <cell r="A810" t="str">
            <v>PH444</v>
          </cell>
          <cell r="B810" t="str">
            <v>D</v>
          </cell>
          <cell r="C810">
            <v>14.43</v>
          </cell>
        </row>
        <row r="811">
          <cell r="A811" t="str">
            <v>LMB448</v>
          </cell>
          <cell r="B811" t="str">
            <v>D</v>
          </cell>
          <cell r="C811">
            <v>45</v>
          </cell>
        </row>
        <row r="812">
          <cell r="A812" t="str">
            <v>LFP449</v>
          </cell>
          <cell r="B812" t="str">
            <v>B</v>
          </cell>
          <cell r="C812">
            <v>14.62</v>
          </cell>
        </row>
        <row r="813">
          <cell r="A813" t="str">
            <v>LMB451</v>
          </cell>
          <cell r="B813" t="str">
            <v>D</v>
          </cell>
          <cell r="C813">
            <v>48.58</v>
          </cell>
        </row>
        <row r="814">
          <cell r="A814" t="str">
            <v>PH453</v>
          </cell>
          <cell r="B814" t="str">
            <v>D</v>
          </cell>
          <cell r="C814">
            <v>5.64</v>
          </cell>
        </row>
        <row r="815">
          <cell r="A815" t="str">
            <v>G454</v>
          </cell>
          <cell r="B815" t="str">
            <v>D</v>
          </cell>
          <cell r="C815">
            <v>4.59</v>
          </cell>
        </row>
        <row r="816">
          <cell r="A816" t="str">
            <v>PH454</v>
          </cell>
          <cell r="B816" t="str">
            <v>C</v>
          </cell>
          <cell r="C816">
            <v>6.9</v>
          </cell>
        </row>
        <row r="817">
          <cell r="A817" t="str">
            <v>PH454M</v>
          </cell>
          <cell r="B817" t="str">
            <v>N</v>
          </cell>
          <cell r="C817">
            <v>7.97</v>
          </cell>
        </row>
        <row r="818">
          <cell r="A818" t="str">
            <v>AF460</v>
          </cell>
          <cell r="B818" t="str">
            <v>D</v>
          </cell>
          <cell r="C818">
            <v>11.79</v>
          </cell>
        </row>
        <row r="819">
          <cell r="A819" t="str">
            <v>LAF466</v>
          </cell>
          <cell r="B819" t="str">
            <v>D</v>
          </cell>
          <cell r="C819">
            <v>71.59</v>
          </cell>
        </row>
        <row r="820">
          <cell r="A820" t="str">
            <v>LP468</v>
          </cell>
          <cell r="B820" t="str">
            <v>D</v>
          </cell>
          <cell r="C820">
            <v>21.22</v>
          </cell>
        </row>
        <row r="821">
          <cell r="A821" t="str">
            <v>G470</v>
          </cell>
          <cell r="B821" t="str">
            <v>D</v>
          </cell>
          <cell r="C821">
            <v>4.79</v>
          </cell>
        </row>
        <row r="822">
          <cell r="A822" t="str">
            <v>G471</v>
          </cell>
          <cell r="B822" t="str">
            <v>D</v>
          </cell>
          <cell r="C822">
            <v>3.67</v>
          </cell>
        </row>
        <row r="823">
          <cell r="A823" t="str">
            <v>G472</v>
          </cell>
          <cell r="B823" t="str">
            <v>D</v>
          </cell>
          <cell r="C823">
            <v>7.91</v>
          </cell>
        </row>
        <row r="824">
          <cell r="A824" t="str">
            <v>G473</v>
          </cell>
          <cell r="B824" t="str">
            <v>D</v>
          </cell>
          <cell r="C824">
            <v>7.42</v>
          </cell>
        </row>
        <row r="825">
          <cell r="A825" t="str">
            <v>G474</v>
          </cell>
          <cell r="B825" t="str">
            <v>D</v>
          </cell>
          <cell r="C825">
            <v>6.66</v>
          </cell>
        </row>
        <row r="826">
          <cell r="A826" t="str">
            <v>T474</v>
          </cell>
          <cell r="B826" t="str">
            <v>D</v>
          </cell>
          <cell r="C826">
            <v>6.42</v>
          </cell>
        </row>
        <row r="827">
          <cell r="A827" t="str">
            <v>G475</v>
          </cell>
          <cell r="B827" t="str">
            <v>D</v>
          </cell>
          <cell r="C827">
            <v>6.92</v>
          </cell>
        </row>
        <row r="828">
          <cell r="A828" t="str">
            <v>G476</v>
          </cell>
          <cell r="B828" t="str">
            <v>D</v>
          </cell>
          <cell r="C828">
            <v>5.84</v>
          </cell>
        </row>
        <row r="829">
          <cell r="A829" t="str">
            <v>G477</v>
          </cell>
          <cell r="B829" t="str">
            <v>D</v>
          </cell>
          <cell r="C829">
            <v>21.15</v>
          </cell>
        </row>
        <row r="830">
          <cell r="A830" t="str">
            <v>PH477</v>
          </cell>
          <cell r="B830" t="str">
            <v>D</v>
          </cell>
          <cell r="C830">
            <v>8</v>
          </cell>
        </row>
        <row r="831">
          <cell r="A831" t="str">
            <v>G478</v>
          </cell>
          <cell r="B831" t="str">
            <v>D</v>
          </cell>
          <cell r="C831">
            <v>5.44</v>
          </cell>
        </row>
        <row r="832">
          <cell r="A832" t="str">
            <v>G479</v>
          </cell>
          <cell r="B832" t="str">
            <v>D</v>
          </cell>
          <cell r="C832">
            <v>38.549999999999997</v>
          </cell>
        </row>
        <row r="833">
          <cell r="A833" t="str">
            <v>LAF480</v>
          </cell>
          <cell r="B833" t="str">
            <v>D</v>
          </cell>
          <cell r="C833">
            <v>95.22</v>
          </cell>
        </row>
        <row r="834">
          <cell r="A834" t="str">
            <v>G481</v>
          </cell>
          <cell r="B834" t="str">
            <v>B</v>
          </cell>
          <cell r="C834">
            <v>7.87</v>
          </cell>
        </row>
        <row r="835">
          <cell r="A835" t="str">
            <v>WHG481FK</v>
          </cell>
          <cell r="B835" t="str">
            <v>D</v>
          </cell>
          <cell r="C835">
            <v>42.55</v>
          </cell>
        </row>
        <row r="836">
          <cell r="A836" t="str">
            <v>G482</v>
          </cell>
          <cell r="B836" t="str">
            <v>D</v>
          </cell>
          <cell r="C836">
            <v>21.45</v>
          </cell>
        </row>
        <row r="837">
          <cell r="A837" t="str">
            <v>G483</v>
          </cell>
          <cell r="B837" t="str">
            <v>D</v>
          </cell>
          <cell r="C837">
            <v>14.93</v>
          </cell>
        </row>
        <row r="838">
          <cell r="A838" t="str">
            <v>G484</v>
          </cell>
          <cell r="B838" t="str">
            <v>D</v>
          </cell>
          <cell r="C838">
            <v>28.84</v>
          </cell>
        </row>
        <row r="839">
          <cell r="A839" t="str">
            <v>G485</v>
          </cell>
          <cell r="B839" t="str">
            <v>D</v>
          </cell>
          <cell r="C839">
            <v>20.56</v>
          </cell>
        </row>
        <row r="840">
          <cell r="A840" t="str">
            <v>G486</v>
          </cell>
          <cell r="B840" t="str">
            <v>D</v>
          </cell>
          <cell r="C840">
            <v>24.89</v>
          </cell>
        </row>
        <row r="841">
          <cell r="A841" t="str">
            <v>LP487</v>
          </cell>
          <cell r="B841" t="str">
            <v>C</v>
          </cell>
          <cell r="C841">
            <v>9.23</v>
          </cell>
        </row>
        <row r="842">
          <cell r="A842" t="str">
            <v>G489</v>
          </cell>
          <cell r="B842" t="str">
            <v>D</v>
          </cell>
          <cell r="C842">
            <v>24.49</v>
          </cell>
        </row>
        <row r="843">
          <cell r="A843" t="str">
            <v>G490</v>
          </cell>
          <cell r="B843" t="str">
            <v>D</v>
          </cell>
          <cell r="C843">
            <v>33.74</v>
          </cell>
        </row>
        <row r="844">
          <cell r="A844" t="str">
            <v>G491</v>
          </cell>
          <cell r="B844" t="str">
            <v>D</v>
          </cell>
          <cell r="C844">
            <v>33.200000000000003</v>
          </cell>
        </row>
        <row r="845">
          <cell r="A845" t="str">
            <v>G492</v>
          </cell>
          <cell r="B845" t="str">
            <v>D</v>
          </cell>
          <cell r="C845">
            <v>21.02</v>
          </cell>
        </row>
        <row r="846">
          <cell r="A846" t="str">
            <v>G496</v>
          </cell>
          <cell r="B846" t="str">
            <v>B</v>
          </cell>
          <cell r="C846">
            <v>14.68</v>
          </cell>
        </row>
        <row r="847">
          <cell r="A847" t="str">
            <v>G497</v>
          </cell>
          <cell r="B847" t="str">
            <v>D</v>
          </cell>
          <cell r="C847">
            <v>36.15</v>
          </cell>
        </row>
        <row r="848">
          <cell r="A848" t="str">
            <v>G499</v>
          </cell>
          <cell r="B848" t="str">
            <v>D</v>
          </cell>
          <cell r="C848">
            <v>27.17</v>
          </cell>
        </row>
        <row r="849">
          <cell r="A849" t="str">
            <v>PH500</v>
          </cell>
          <cell r="B849" t="str">
            <v>A</v>
          </cell>
          <cell r="C849">
            <v>4.21</v>
          </cell>
        </row>
        <row r="850">
          <cell r="A850" t="str">
            <v>G501</v>
          </cell>
          <cell r="B850" t="str">
            <v>D</v>
          </cell>
          <cell r="C850">
            <v>26.41</v>
          </cell>
        </row>
        <row r="851">
          <cell r="A851" t="str">
            <v>G502</v>
          </cell>
          <cell r="B851" t="str">
            <v>D</v>
          </cell>
          <cell r="C851">
            <v>32.770000000000003</v>
          </cell>
        </row>
        <row r="852">
          <cell r="A852" t="str">
            <v>LAF503</v>
          </cell>
          <cell r="B852" t="str">
            <v>D</v>
          </cell>
          <cell r="C852">
            <v>31.96</v>
          </cell>
        </row>
        <row r="853">
          <cell r="A853" t="str">
            <v>G504</v>
          </cell>
          <cell r="B853" t="str">
            <v>D</v>
          </cell>
          <cell r="C853">
            <v>27.77</v>
          </cell>
        </row>
        <row r="854">
          <cell r="A854" t="str">
            <v>G505</v>
          </cell>
          <cell r="B854" t="str">
            <v>D</v>
          </cell>
          <cell r="C854">
            <v>14.6</v>
          </cell>
        </row>
        <row r="855">
          <cell r="A855" t="str">
            <v>LAF506</v>
          </cell>
          <cell r="B855" t="str">
            <v>D</v>
          </cell>
          <cell r="C855">
            <v>43.62</v>
          </cell>
        </row>
        <row r="856">
          <cell r="A856" t="str">
            <v>G507</v>
          </cell>
          <cell r="B856" t="str">
            <v>D</v>
          </cell>
          <cell r="C856">
            <v>31.5</v>
          </cell>
        </row>
        <row r="857">
          <cell r="A857" t="str">
            <v>G508</v>
          </cell>
          <cell r="B857" t="str">
            <v>D</v>
          </cell>
          <cell r="C857">
            <v>28.82</v>
          </cell>
        </row>
        <row r="858">
          <cell r="A858" t="str">
            <v>LP509</v>
          </cell>
          <cell r="B858" t="str">
            <v>D</v>
          </cell>
          <cell r="C858">
            <v>10.01</v>
          </cell>
        </row>
        <row r="859">
          <cell r="A859" t="str">
            <v>LP50910</v>
          </cell>
          <cell r="B859" t="str">
            <v>D</v>
          </cell>
          <cell r="C859">
            <v>11.92</v>
          </cell>
        </row>
        <row r="860">
          <cell r="A860" t="str">
            <v>G510</v>
          </cell>
          <cell r="B860" t="str">
            <v>D</v>
          </cell>
          <cell r="C860">
            <v>5.52</v>
          </cell>
        </row>
        <row r="861">
          <cell r="A861" t="str">
            <v>G511</v>
          </cell>
          <cell r="B861" t="str">
            <v>D</v>
          </cell>
          <cell r="C861">
            <v>7.08</v>
          </cell>
        </row>
        <row r="862">
          <cell r="A862" t="str">
            <v>LAF511</v>
          </cell>
          <cell r="B862" t="str">
            <v>D</v>
          </cell>
          <cell r="C862">
            <v>53.52</v>
          </cell>
        </row>
        <row r="863">
          <cell r="A863" t="str">
            <v>LAF512</v>
          </cell>
          <cell r="B863" t="str">
            <v>D</v>
          </cell>
          <cell r="C863">
            <v>76.11</v>
          </cell>
        </row>
        <row r="864">
          <cell r="A864" t="str">
            <v>G513</v>
          </cell>
          <cell r="B864" t="str">
            <v>D</v>
          </cell>
          <cell r="C864">
            <v>30.09</v>
          </cell>
        </row>
        <row r="865">
          <cell r="A865" t="str">
            <v>G515</v>
          </cell>
          <cell r="B865" t="str">
            <v>D</v>
          </cell>
          <cell r="C865">
            <v>19.66</v>
          </cell>
        </row>
        <row r="866">
          <cell r="A866" t="str">
            <v>LAF519</v>
          </cell>
          <cell r="B866" t="str">
            <v>D</v>
          </cell>
          <cell r="C866">
            <v>101.82</v>
          </cell>
        </row>
        <row r="867">
          <cell r="A867" t="str">
            <v>LAF519D</v>
          </cell>
          <cell r="B867" t="str">
            <v>D</v>
          </cell>
          <cell r="C867">
            <v>117.06</v>
          </cell>
        </row>
        <row r="868">
          <cell r="A868" t="str">
            <v>AF522</v>
          </cell>
          <cell r="B868" t="str">
            <v>D</v>
          </cell>
          <cell r="C868">
            <v>35.270000000000003</v>
          </cell>
        </row>
        <row r="869">
          <cell r="A869" t="str">
            <v>AF524</v>
          </cell>
          <cell r="B869" t="str">
            <v>D</v>
          </cell>
          <cell r="C869">
            <v>30.1</v>
          </cell>
        </row>
        <row r="870">
          <cell r="A870" t="str">
            <v>AF526</v>
          </cell>
          <cell r="B870" t="str">
            <v>D</v>
          </cell>
          <cell r="C870">
            <v>15.9</v>
          </cell>
        </row>
        <row r="871">
          <cell r="A871" t="str">
            <v>LAF528</v>
          </cell>
          <cell r="B871" t="str">
            <v>D</v>
          </cell>
          <cell r="C871">
            <v>171.95</v>
          </cell>
        </row>
        <row r="872">
          <cell r="A872" t="str">
            <v>LAF528D</v>
          </cell>
          <cell r="B872" t="str">
            <v>D</v>
          </cell>
          <cell r="C872">
            <v>168.69</v>
          </cell>
        </row>
        <row r="873">
          <cell r="A873" t="str">
            <v>T529</v>
          </cell>
          <cell r="B873" t="str">
            <v>D</v>
          </cell>
          <cell r="C873">
            <v>9.59</v>
          </cell>
        </row>
        <row r="874">
          <cell r="A874" t="str">
            <v>AF530</v>
          </cell>
          <cell r="B874" t="str">
            <v>D</v>
          </cell>
          <cell r="C874">
            <v>22.94</v>
          </cell>
        </row>
        <row r="875">
          <cell r="A875" t="str">
            <v>AF531</v>
          </cell>
          <cell r="B875" t="str">
            <v>D</v>
          </cell>
          <cell r="C875">
            <v>96.06</v>
          </cell>
        </row>
        <row r="876">
          <cell r="A876" t="str">
            <v>T531</v>
          </cell>
          <cell r="B876" t="str">
            <v>D</v>
          </cell>
          <cell r="C876">
            <v>14.55</v>
          </cell>
        </row>
        <row r="877">
          <cell r="A877" t="str">
            <v>AF532</v>
          </cell>
          <cell r="B877" t="str">
            <v>D</v>
          </cell>
          <cell r="C877">
            <v>97.86</v>
          </cell>
        </row>
        <row r="878">
          <cell r="A878" t="str">
            <v>AF533</v>
          </cell>
          <cell r="B878" t="str">
            <v>D</v>
          </cell>
          <cell r="C878">
            <v>30.19</v>
          </cell>
        </row>
        <row r="879">
          <cell r="A879" t="str">
            <v>T533</v>
          </cell>
          <cell r="B879" t="str">
            <v>D</v>
          </cell>
          <cell r="C879">
            <v>12.29</v>
          </cell>
        </row>
        <row r="880">
          <cell r="A880" t="str">
            <v>AF535</v>
          </cell>
          <cell r="B880" t="str">
            <v>D</v>
          </cell>
          <cell r="C880">
            <v>54.73</v>
          </cell>
        </row>
        <row r="881">
          <cell r="A881" t="str">
            <v>AF537</v>
          </cell>
          <cell r="B881" t="str">
            <v>D</v>
          </cell>
          <cell r="C881">
            <v>18.8</v>
          </cell>
        </row>
        <row r="882">
          <cell r="A882" t="str">
            <v>AF538</v>
          </cell>
          <cell r="B882" t="str">
            <v>D</v>
          </cell>
          <cell r="C882">
            <v>18.54</v>
          </cell>
        </row>
        <row r="883">
          <cell r="A883" t="str">
            <v>AF539</v>
          </cell>
          <cell r="B883" t="str">
            <v>D</v>
          </cell>
          <cell r="C883">
            <v>13</v>
          </cell>
        </row>
        <row r="884">
          <cell r="A884" t="str">
            <v>AF540</v>
          </cell>
          <cell r="B884" t="str">
            <v>D</v>
          </cell>
          <cell r="C884">
            <v>10.47</v>
          </cell>
        </row>
        <row r="885">
          <cell r="A885" t="str">
            <v>L540F</v>
          </cell>
          <cell r="B885" t="str">
            <v>C</v>
          </cell>
          <cell r="C885">
            <v>6.59</v>
          </cell>
        </row>
        <row r="886">
          <cell r="A886" t="str">
            <v>L541F</v>
          </cell>
          <cell r="B886" t="str">
            <v>D</v>
          </cell>
          <cell r="C886">
            <v>9.98</v>
          </cell>
        </row>
        <row r="887">
          <cell r="A887" t="str">
            <v>AF542</v>
          </cell>
          <cell r="B887" t="str">
            <v>D</v>
          </cell>
          <cell r="C887">
            <v>13.45</v>
          </cell>
        </row>
        <row r="888">
          <cell r="A888" t="str">
            <v>T542</v>
          </cell>
          <cell r="B888" t="str">
            <v>D</v>
          </cell>
          <cell r="C888">
            <v>9.0299999999999994</v>
          </cell>
        </row>
        <row r="889">
          <cell r="A889" t="str">
            <v>AF543</v>
          </cell>
          <cell r="B889" t="str">
            <v>D</v>
          </cell>
          <cell r="C889">
            <v>11.75</v>
          </cell>
        </row>
        <row r="890">
          <cell r="A890" t="str">
            <v>T544</v>
          </cell>
          <cell r="B890" t="str">
            <v>D</v>
          </cell>
          <cell r="C890">
            <v>13.01</v>
          </cell>
        </row>
        <row r="891">
          <cell r="A891" t="str">
            <v>AF545</v>
          </cell>
          <cell r="B891" t="str">
            <v>D</v>
          </cell>
          <cell r="C891">
            <v>18.73</v>
          </cell>
        </row>
        <row r="892">
          <cell r="A892" t="str">
            <v>AF549</v>
          </cell>
          <cell r="B892" t="str">
            <v>D</v>
          </cell>
          <cell r="C892">
            <v>14.59</v>
          </cell>
        </row>
        <row r="893">
          <cell r="A893" t="str">
            <v>L549F</v>
          </cell>
          <cell r="B893" t="str">
            <v>B</v>
          </cell>
          <cell r="C893">
            <v>9.06</v>
          </cell>
        </row>
        <row r="894">
          <cell r="A894" t="str">
            <v>AF550</v>
          </cell>
          <cell r="B894" t="str">
            <v>D</v>
          </cell>
          <cell r="C894">
            <v>17.43</v>
          </cell>
        </row>
        <row r="895">
          <cell r="A895" t="str">
            <v>L550F</v>
          </cell>
          <cell r="B895" t="str">
            <v>B</v>
          </cell>
          <cell r="C895">
            <v>5.45</v>
          </cell>
        </row>
        <row r="896">
          <cell r="A896" t="str">
            <v>L552F</v>
          </cell>
          <cell r="B896" t="str">
            <v>D</v>
          </cell>
          <cell r="C896">
            <v>10.96</v>
          </cell>
        </row>
        <row r="897">
          <cell r="A897" t="str">
            <v>LAF558</v>
          </cell>
          <cell r="B897" t="str">
            <v>D</v>
          </cell>
          <cell r="C897">
            <v>24.44</v>
          </cell>
        </row>
        <row r="898">
          <cell r="A898" t="str">
            <v>LP560</v>
          </cell>
          <cell r="B898" t="str">
            <v>C</v>
          </cell>
          <cell r="C898">
            <v>14.63</v>
          </cell>
        </row>
        <row r="899">
          <cell r="A899" t="str">
            <v>LP560HE</v>
          </cell>
          <cell r="B899" t="str">
            <v>D</v>
          </cell>
          <cell r="C899">
            <v>34.15</v>
          </cell>
        </row>
        <row r="900">
          <cell r="A900" t="str">
            <v>PH561</v>
          </cell>
          <cell r="B900" t="str">
            <v>A</v>
          </cell>
          <cell r="C900">
            <v>7.77</v>
          </cell>
        </row>
        <row r="901">
          <cell r="A901" t="str">
            <v>PH561M</v>
          </cell>
          <cell r="B901" t="str">
            <v>N</v>
          </cell>
          <cell r="C901">
            <v>7.65</v>
          </cell>
        </row>
        <row r="902">
          <cell r="A902" t="str">
            <v>G562</v>
          </cell>
          <cell r="B902" t="str">
            <v>C</v>
          </cell>
          <cell r="C902">
            <v>21.27</v>
          </cell>
        </row>
        <row r="903">
          <cell r="A903" t="str">
            <v>LAF562</v>
          </cell>
          <cell r="B903" t="str">
            <v>D</v>
          </cell>
          <cell r="C903">
            <v>75.22</v>
          </cell>
        </row>
        <row r="904">
          <cell r="A904" t="str">
            <v>LP566</v>
          </cell>
          <cell r="B904" t="str">
            <v>D</v>
          </cell>
          <cell r="C904">
            <v>17.28</v>
          </cell>
        </row>
        <row r="905">
          <cell r="A905" t="str">
            <v>FP570F</v>
          </cell>
          <cell r="B905" t="str">
            <v>A</v>
          </cell>
          <cell r="C905">
            <v>10.67</v>
          </cell>
        </row>
        <row r="906">
          <cell r="A906" t="str">
            <v>G572</v>
          </cell>
          <cell r="B906" t="str">
            <v>D</v>
          </cell>
          <cell r="C906">
            <v>29.13</v>
          </cell>
        </row>
        <row r="907">
          <cell r="A907" t="str">
            <v>G573</v>
          </cell>
          <cell r="B907" t="str">
            <v>D</v>
          </cell>
          <cell r="C907">
            <v>22.72</v>
          </cell>
        </row>
        <row r="908">
          <cell r="A908" t="str">
            <v>AF574</v>
          </cell>
          <cell r="B908" t="str">
            <v>D</v>
          </cell>
          <cell r="C908">
            <v>8.3000000000000007</v>
          </cell>
        </row>
        <row r="909">
          <cell r="A909" t="str">
            <v>LAF575</v>
          </cell>
          <cell r="B909" t="str">
            <v>D</v>
          </cell>
          <cell r="C909">
            <v>85.83</v>
          </cell>
        </row>
        <row r="910">
          <cell r="A910" t="str">
            <v>G578</v>
          </cell>
          <cell r="B910" t="str">
            <v>C</v>
          </cell>
          <cell r="C910">
            <v>15.63</v>
          </cell>
        </row>
        <row r="911">
          <cell r="A911" t="str">
            <v>G580</v>
          </cell>
          <cell r="B911" t="str">
            <v>D</v>
          </cell>
          <cell r="C911">
            <v>18.77</v>
          </cell>
        </row>
        <row r="912">
          <cell r="A912" t="str">
            <v>AF584</v>
          </cell>
          <cell r="B912" t="str">
            <v>D</v>
          </cell>
          <cell r="C912">
            <v>7.92</v>
          </cell>
        </row>
        <row r="913">
          <cell r="A913" t="str">
            <v>FP585F</v>
          </cell>
          <cell r="B913" t="str">
            <v>A</v>
          </cell>
          <cell r="C913">
            <v>9.84</v>
          </cell>
        </row>
        <row r="914">
          <cell r="A914" t="str">
            <v>FP586F</v>
          </cell>
          <cell r="B914" t="str">
            <v>A</v>
          </cell>
          <cell r="C914">
            <v>8.1300000000000008</v>
          </cell>
        </row>
        <row r="915">
          <cell r="A915" t="str">
            <v>LAF586</v>
          </cell>
          <cell r="B915" t="str">
            <v>D</v>
          </cell>
          <cell r="C915">
            <v>44.39</v>
          </cell>
        </row>
        <row r="916">
          <cell r="A916" t="str">
            <v>FP587F</v>
          </cell>
          <cell r="B916" t="str">
            <v>B</v>
          </cell>
          <cell r="C916">
            <v>10.23</v>
          </cell>
        </row>
        <row r="917">
          <cell r="A917" t="str">
            <v>588-A</v>
          </cell>
          <cell r="B917" t="str">
            <v>D</v>
          </cell>
          <cell r="C917">
            <v>73.349999999999994</v>
          </cell>
        </row>
        <row r="918">
          <cell r="A918" t="str">
            <v>FP588F</v>
          </cell>
          <cell r="B918" t="str">
            <v>A</v>
          </cell>
          <cell r="C918">
            <v>8.0500000000000007</v>
          </cell>
        </row>
        <row r="919">
          <cell r="A919" t="str">
            <v>LAF588</v>
          </cell>
          <cell r="B919" t="str">
            <v>D</v>
          </cell>
          <cell r="C919">
            <v>25.52</v>
          </cell>
        </row>
        <row r="920">
          <cell r="A920" t="str">
            <v>FP589F</v>
          </cell>
          <cell r="B920" t="str">
            <v>D</v>
          </cell>
          <cell r="C920">
            <v>8.67</v>
          </cell>
        </row>
        <row r="921">
          <cell r="A921" t="str">
            <v>FP590F</v>
          </cell>
          <cell r="B921" t="str">
            <v>A</v>
          </cell>
          <cell r="C921">
            <v>7.77</v>
          </cell>
        </row>
        <row r="922">
          <cell r="A922" t="str">
            <v>FP591F</v>
          </cell>
          <cell r="B922" t="str">
            <v>B</v>
          </cell>
          <cell r="C922">
            <v>8.69</v>
          </cell>
        </row>
        <row r="923">
          <cell r="A923" t="str">
            <v>AF599</v>
          </cell>
          <cell r="B923" t="str">
            <v>D</v>
          </cell>
          <cell r="C923">
            <v>13.92</v>
          </cell>
        </row>
        <row r="924">
          <cell r="A924" t="str">
            <v>AF600</v>
          </cell>
          <cell r="B924" t="str">
            <v>D</v>
          </cell>
          <cell r="C924">
            <v>11.82</v>
          </cell>
        </row>
        <row r="925">
          <cell r="A925" t="str">
            <v>AF601</v>
          </cell>
          <cell r="B925" t="str">
            <v>D</v>
          </cell>
          <cell r="C925">
            <v>11.76</v>
          </cell>
        </row>
        <row r="926">
          <cell r="A926" t="str">
            <v>AF602</v>
          </cell>
          <cell r="B926" t="str">
            <v>D</v>
          </cell>
          <cell r="C926">
            <v>8.14</v>
          </cell>
        </row>
        <row r="927">
          <cell r="A927" t="str">
            <v>AF603</v>
          </cell>
          <cell r="B927" t="str">
            <v>D</v>
          </cell>
          <cell r="C927">
            <v>10.73</v>
          </cell>
        </row>
        <row r="928">
          <cell r="A928" t="str">
            <v>FP603</v>
          </cell>
          <cell r="B928" t="str">
            <v>A</v>
          </cell>
          <cell r="C928">
            <v>10.91</v>
          </cell>
        </row>
        <row r="929">
          <cell r="A929" t="str">
            <v>AF604</v>
          </cell>
          <cell r="B929" t="str">
            <v>D</v>
          </cell>
          <cell r="C929">
            <v>12.82</v>
          </cell>
        </row>
        <row r="930">
          <cell r="A930" t="str">
            <v>AF605</v>
          </cell>
          <cell r="B930" t="str">
            <v>D</v>
          </cell>
          <cell r="C930">
            <v>11.33</v>
          </cell>
        </row>
        <row r="931">
          <cell r="A931" t="str">
            <v>AF606</v>
          </cell>
          <cell r="B931" t="str">
            <v>D</v>
          </cell>
          <cell r="C931">
            <v>10.65</v>
          </cell>
        </row>
        <row r="932">
          <cell r="A932" t="str">
            <v>AF607</v>
          </cell>
          <cell r="B932" t="str">
            <v>D</v>
          </cell>
          <cell r="C932">
            <v>12.98</v>
          </cell>
        </row>
        <row r="933">
          <cell r="A933" t="str">
            <v>AF608</v>
          </cell>
          <cell r="B933" t="str">
            <v>D</v>
          </cell>
          <cell r="C933">
            <v>15.31</v>
          </cell>
        </row>
        <row r="934">
          <cell r="A934" t="str">
            <v>PH610</v>
          </cell>
          <cell r="B934" t="str">
            <v>D</v>
          </cell>
          <cell r="C934">
            <v>11.18</v>
          </cell>
        </row>
        <row r="935">
          <cell r="A935" t="str">
            <v>AF611</v>
          </cell>
          <cell r="B935" t="str">
            <v>D</v>
          </cell>
          <cell r="C935">
            <v>9.9600000000000009</v>
          </cell>
        </row>
        <row r="936">
          <cell r="A936" t="str">
            <v>LP613</v>
          </cell>
          <cell r="B936" t="str">
            <v>D</v>
          </cell>
          <cell r="C936">
            <v>23.02</v>
          </cell>
        </row>
        <row r="937">
          <cell r="A937" t="str">
            <v>LP614</v>
          </cell>
          <cell r="B937" t="str">
            <v>D</v>
          </cell>
          <cell r="C937">
            <v>31.01</v>
          </cell>
        </row>
        <row r="938">
          <cell r="A938" t="str">
            <v>T614</v>
          </cell>
          <cell r="B938" t="str">
            <v>D</v>
          </cell>
          <cell r="C938">
            <v>10.67</v>
          </cell>
        </row>
        <row r="939">
          <cell r="A939" t="str">
            <v>T615</v>
          </cell>
          <cell r="B939" t="str">
            <v>D</v>
          </cell>
          <cell r="C939">
            <v>16.059999999999999</v>
          </cell>
        </row>
        <row r="940">
          <cell r="A940" t="str">
            <v>T616</v>
          </cell>
          <cell r="B940" t="str">
            <v>D</v>
          </cell>
          <cell r="C940">
            <v>28.38</v>
          </cell>
        </row>
        <row r="941">
          <cell r="A941" t="str">
            <v>T618</v>
          </cell>
          <cell r="B941" t="str">
            <v>D</v>
          </cell>
          <cell r="C941">
            <v>50.49</v>
          </cell>
        </row>
        <row r="942">
          <cell r="A942" t="str">
            <v>T619</v>
          </cell>
          <cell r="B942" t="str">
            <v>B</v>
          </cell>
          <cell r="C942">
            <v>22.71</v>
          </cell>
        </row>
        <row r="943">
          <cell r="A943" t="str">
            <v>T620</v>
          </cell>
          <cell r="B943" t="str">
            <v>D</v>
          </cell>
          <cell r="C943">
            <v>23.06</v>
          </cell>
        </row>
        <row r="944">
          <cell r="A944" t="str">
            <v>T621</v>
          </cell>
          <cell r="B944" t="str">
            <v>D</v>
          </cell>
          <cell r="C944">
            <v>30.12</v>
          </cell>
        </row>
        <row r="945">
          <cell r="A945" t="str">
            <v>T622</v>
          </cell>
          <cell r="B945" t="str">
            <v>D</v>
          </cell>
          <cell r="C945">
            <v>27.75</v>
          </cell>
        </row>
        <row r="946">
          <cell r="A946" t="str">
            <v>L624F</v>
          </cell>
          <cell r="B946" t="str">
            <v>D</v>
          </cell>
          <cell r="C946">
            <v>19.899999999999999</v>
          </cell>
        </row>
        <row r="947">
          <cell r="A947" t="str">
            <v>L624FP</v>
          </cell>
          <cell r="B947" t="str">
            <v>D</v>
          </cell>
          <cell r="C947">
            <v>19.09</v>
          </cell>
        </row>
        <row r="948">
          <cell r="A948" t="str">
            <v>LAF624</v>
          </cell>
          <cell r="B948" t="str">
            <v>D</v>
          </cell>
          <cell r="C948">
            <v>164.33</v>
          </cell>
        </row>
        <row r="949">
          <cell r="A949" t="str">
            <v>FP625</v>
          </cell>
          <cell r="B949" t="str">
            <v>C</v>
          </cell>
          <cell r="C949">
            <v>10.09</v>
          </cell>
        </row>
        <row r="950">
          <cell r="A950" t="str">
            <v>T626</v>
          </cell>
          <cell r="B950" t="str">
            <v>D</v>
          </cell>
          <cell r="C950">
            <v>27.49</v>
          </cell>
        </row>
        <row r="951">
          <cell r="A951" t="str">
            <v>T627</v>
          </cell>
          <cell r="B951" t="str">
            <v>D</v>
          </cell>
          <cell r="C951">
            <v>30.14</v>
          </cell>
        </row>
        <row r="952">
          <cell r="A952" t="str">
            <v>T628</v>
          </cell>
          <cell r="B952" t="str">
            <v>D</v>
          </cell>
          <cell r="C952">
            <v>26.16</v>
          </cell>
        </row>
        <row r="953">
          <cell r="A953" t="str">
            <v>T630</v>
          </cell>
          <cell r="B953" t="str">
            <v>D</v>
          </cell>
          <cell r="C953">
            <v>36.89</v>
          </cell>
        </row>
        <row r="954">
          <cell r="A954" t="str">
            <v>T631</v>
          </cell>
          <cell r="B954" t="str">
            <v>D</v>
          </cell>
          <cell r="C954">
            <v>25.19</v>
          </cell>
        </row>
        <row r="955">
          <cell r="A955" t="str">
            <v>L632F</v>
          </cell>
          <cell r="B955" t="str">
            <v>D</v>
          </cell>
          <cell r="C955">
            <v>35.729999999999997</v>
          </cell>
        </row>
        <row r="956">
          <cell r="A956" t="str">
            <v>AF633</v>
          </cell>
          <cell r="B956" t="str">
            <v>D</v>
          </cell>
          <cell r="C956">
            <v>16</v>
          </cell>
        </row>
        <row r="957">
          <cell r="A957" t="str">
            <v>AF634</v>
          </cell>
          <cell r="B957" t="str">
            <v>D</v>
          </cell>
          <cell r="C957">
            <v>15.85</v>
          </cell>
        </row>
        <row r="958">
          <cell r="A958" t="str">
            <v>T634</v>
          </cell>
          <cell r="B958" t="str">
            <v>D</v>
          </cell>
          <cell r="C958">
            <v>40.619999999999997</v>
          </cell>
        </row>
        <row r="959">
          <cell r="A959" t="str">
            <v>T635</v>
          </cell>
          <cell r="B959" t="str">
            <v>D</v>
          </cell>
          <cell r="C959">
            <v>24.92</v>
          </cell>
        </row>
        <row r="960">
          <cell r="A960" t="str">
            <v>LAF636</v>
          </cell>
          <cell r="B960" t="str">
            <v>D</v>
          </cell>
          <cell r="C960">
            <v>43.06</v>
          </cell>
        </row>
        <row r="961">
          <cell r="A961" t="str">
            <v>T638</v>
          </cell>
          <cell r="B961" t="str">
            <v>D</v>
          </cell>
          <cell r="C961">
            <v>41.21</v>
          </cell>
        </row>
        <row r="962">
          <cell r="A962" t="str">
            <v>T639</v>
          </cell>
          <cell r="B962" t="str">
            <v>D</v>
          </cell>
          <cell r="C962">
            <v>33.090000000000003</v>
          </cell>
        </row>
        <row r="963">
          <cell r="A963" t="str">
            <v>AF640</v>
          </cell>
          <cell r="B963" t="str">
            <v>D</v>
          </cell>
          <cell r="C963">
            <v>8.7200000000000006</v>
          </cell>
        </row>
        <row r="964">
          <cell r="A964" t="str">
            <v>AF641</v>
          </cell>
          <cell r="B964" t="str">
            <v>D</v>
          </cell>
          <cell r="C964">
            <v>8.2100000000000009</v>
          </cell>
        </row>
        <row r="965">
          <cell r="A965" t="str">
            <v>LAF642</v>
          </cell>
          <cell r="B965" t="str">
            <v>D</v>
          </cell>
          <cell r="C965">
            <v>48.66</v>
          </cell>
        </row>
        <row r="966">
          <cell r="A966" t="str">
            <v>T643</v>
          </cell>
          <cell r="B966" t="str">
            <v>D</v>
          </cell>
          <cell r="C966">
            <v>48.55</v>
          </cell>
        </row>
        <row r="967">
          <cell r="A967">
            <v>644</v>
          </cell>
          <cell r="B967" t="str">
            <v>D</v>
          </cell>
          <cell r="C967">
            <v>130.49</v>
          </cell>
        </row>
        <row r="968">
          <cell r="A968" t="str">
            <v>AF644</v>
          </cell>
          <cell r="B968" t="str">
            <v>D</v>
          </cell>
          <cell r="C968">
            <v>24.28</v>
          </cell>
        </row>
        <row r="969">
          <cell r="A969" t="str">
            <v>G645</v>
          </cell>
          <cell r="B969" t="str">
            <v>D</v>
          </cell>
          <cell r="C969">
            <v>14.52</v>
          </cell>
        </row>
        <row r="970">
          <cell r="A970" t="str">
            <v>T645</v>
          </cell>
          <cell r="B970" t="str">
            <v>D</v>
          </cell>
          <cell r="C970">
            <v>29.94</v>
          </cell>
        </row>
        <row r="971">
          <cell r="A971" t="str">
            <v>T646</v>
          </cell>
          <cell r="B971" t="str">
            <v>A</v>
          </cell>
          <cell r="C971">
            <v>30.19</v>
          </cell>
        </row>
        <row r="972">
          <cell r="A972" t="str">
            <v>T647</v>
          </cell>
          <cell r="B972" t="str">
            <v>B</v>
          </cell>
          <cell r="C972">
            <v>26.42</v>
          </cell>
        </row>
        <row r="973">
          <cell r="A973" t="str">
            <v>T648</v>
          </cell>
          <cell r="B973" t="str">
            <v>D</v>
          </cell>
          <cell r="C973">
            <v>25.6</v>
          </cell>
        </row>
        <row r="974">
          <cell r="A974" t="str">
            <v>T649</v>
          </cell>
          <cell r="B974" t="str">
            <v>D</v>
          </cell>
          <cell r="C974">
            <v>35.020000000000003</v>
          </cell>
        </row>
        <row r="975">
          <cell r="A975" t="str">
            <v>G650</v>
          </cell>
          <cell r="B975" t="str">
            <v>D</v>
          </cell>
          <cell r="C975">
            <v>16.079999999999998</v>
          </cell>
        </row>
        <row r="976">
          <cell r="A976" t="str">
            <v>T651</v>
          </cell>
          <cell r="B976" t="str">
            <v>D</v>
          </cell>
          <cell r="C976">
            <v>23.28</v>
          </cell>
        </row>
        <row r="977">
          <cell r="A977" t="str">
            <v>T652</v>
          </cell>
          <cell r="B977" t="str">
            <v>D</v>
          </cell>
          <cell r="C977">
            <v>33.17</v>
          </cell>
        </row>
        <row r="978">
          <cell r="A978" t="str">
            <v>T653</v>
          </cell>
          <cell r="B978" t="str">
            <v>D</v>
          </cell>
          <cell r="C978">
            <v>47.24</v>
          </cell>
        </row>
        <row r="979">
          <cell r="A979" t="str">
            <v>T654</v>
          </cell>
          <cell r="B979" t="str">
            <v>D</v>
          </cell>
          <cell r="C979">
            <v>52.92</v>
          </cell>
        </row>
        <row r="980">
          <cell r="A980" t="str">
            <v>T655</v>
          </cell>
          <cell r="B980" t="str">
            <v>D</v>
          </cell>
          <cell r="C980">
            <v>18.16</v>
          </cell>
        </row>
        <row r="981">
          <cell r="A981" t="str">
            <v>T656</v>
          </cell>
          <cell r="B981" t="str">
            <v>D</v>
          </cell>
          <cell r="C981">
            <v>27.33</v>
          </cell>
        </row>
        <row r="982">
          <cell r="A982" t="str">
            <v>T657</v>
          </cell>
          <cell r="B982" t="str">
            <v>D</v>
          </cell>
          <cell r="C982">
            <v>23.76</v>
          </cell>
        </row>
        <row r="983">
          <cell r="A983" t="str">
            <v>T658</v>
          </cell>
          <cell r="B983" t="str">
            <v>D</v>
          </cell>
          <cell r="C983">
            <v>25.61</v>
          </cell>
        </row>
        <row r="984">
          <cell r="A984" t="str">
            <v>T659</v>
          </cell>
          <cell r="B984" t="str">
            <v>D</v>
          </cell>
          <cell r="C984">
            <v>29.36</v>
          </cell>
        </row>
        <row r="985">
          <cell r="A985" t="str">
            <v>T660</v>
          </cell>
          <cell r="B985" t="str">
            <v>D</v>
          </cell>
          <cell r="C985">
            <v>20.49</v>
          </cell>
        </row>
        <row r="986">
          <cell r="A986" t="str">
            <v>AF661</v>
          </cell>
          <cell r="B986" t="str">
            <v>D</v>
          </cell>
          <cell r="C986">
            <v>13.89</v>
          </cell>
        </row>
        <row r="987">
          <cell r="A987" t="str">
            <v>AF662</v>
          </cell>
          <cell r="B987" t="str">
            <v>D</v>
          </cell>
          <cell r="C987">
            <v>12.52</v>
          </cell>
        </row>
        <row r="988">
          <cell r="A988" t="str">
            <v>AF663</v>
          </cell>
          <cell r="B988" t="str">
            <v>D</v>
          </cell>
          <cell r="C988">
            <v>9.5</v>
          </cell>
        </row>
        <row r="989">
          <cell r="A989" t="str">
            <v>L663F</v>
          </cell>
          <cell r="B989" t="str">
            <v>D</v>
          </cell>
          <cell r="C989">
            <v>28.3</v>
          </cell>
        </row>
        <row r="990">
          <cell r="A990" t="str">
            <v>L664F</v>
          </cell>
          <cell r="B990" t="str">
            <v>D</v>
          </cell>
          <cell r="C990">
            <v>23.28</v>
          </cell>
        </row>
        <row r="991">
          <cell r="A991" t="str">
            <v>AF665</v>
          </cell>
          <cell r="B991" t="str">
            <v>D</v>
          </cell>
          <cell r="C991">
            <v>20.87</v>
          </cell>
        </row>
        <row r="992">
          <cell r="A992" t="str">
            <v>T666</v>
          </cell>
          <cell r="B992" t="str">
            <v>D</v>
          </cell>
          <cell r="C992">
            <v>38.26</v>
          </cell>
        </row>
        <row r="993">
          <cell r="A993" t="str">
            <v>T667</v>
          </cell>
          <cell r="B993" t="str">
            <v>D</v>
          </cell>
          <cell r="C993">
            <v>35.159999999999997</v>
          </cell>
        </row>
        <row r="994">
          <cell r="A994" t="str">
            <v>LFP670</v>
          </cell>
          <cell r="B994" t="str">
            <v>A</v>
          </cell>
          <cell r="C994">
            <v>17.78</v>
          </cell>
        </row>
        <row r="995">
          <cell r="A995" t="str">
            <v>LFP670XL</v>
          </cell>
          <cell r="B995" t="str">
            <v>D</v>
          </cell>
          <cell r="C995">
            <v>50.52</v>
          </cell>
        </row>
        <row r="996">
          <cell r="A996" t="str">
            <v>PH675</v>
          </cell>
          <cell r="B996" t="str">
            <v>B</v>
          </cell>
          <cell r="C996">
            <v>8.5299999999999994</v>
          </cell>
        </row>
        <row r="997">
          <cell r="A997" t="str">
            <v>LAF681</v>
          </cell>
          <cell r="B997" t="str">
            <v>D</v>
          </cell>
          <cell r="C997">
            <v>70.67</v>
          </cell>
        </row>
        <row r="998">
          <cell r="A998" t="str">
            <v>LAF689</v>
          </cell>
          <cell r="B998" t="str">
            <v>D</v>
          </cell>
          <cell r="C998">
            <v>30.56</v>
          </cell>
        </row>
        <row r="999">
          <cell r="A999" t="str">
            <v>T690</v>
          </cell>
          <cell r="B999" t="str">
            <v>D</v>
          </cell>
          <cell r="C999">
            <v>22.65</v>
          </cell>
        </row>
        <row r="1000">
          <cell r="A1000" t="str">
            <v>T692</v>
          </cell>
          <cell r="B1000" t="str">
            <v>D</v>
          </cell>
          <cell r="C1000">
            <v>31.16</v>
          </cell>
        </row>
        <row r="1001">
          <cell r="A1001" t="str">
            <v>LAF694</v>
          </cell>
          <cell r="B1001" t="str">
            <v>D</v>
          </cell>
          <cell r="C1001">
            <v>70.47</v>
          </cell>
        </row>
        <row r="1002">
          <cell r="A1002" t="str">
            <v>LAF695</v>
          </cell>
          <cell r="B1002" t="str">
            <v>B</v>
          </cell>
          <cell r="C1002">
            <v>79.39</v>
          </cell>
        </row>
        <row r="1003">
          <cell r="A1003" t="str">
            <v>AF697</v>
          </cell>
          <cell r="B1003" t="str">
            <v>D</v>
          </cell>
          <cell r="C1003">
            <v>17.18</v>
          </cell>
        </row>
        <row r="1004">
          <cell r="A1004" t="str">
            <v>AF697R</v>
          </cell>
          <cell r="B1004" t="str">
            <v>N</v>
          </cell>
          <cell r="C1004">
            <v>8.56</v>
          </cell>
        </row>
        <row r="1005">
          <cell r="A1005">
            <v>700</v>
          </cell>
          <cell r="B1005" t="str">
            <v>D</v>
          </cell>
          <cell r="C1005">
            <v>37.520000000000003</v>
          </cell>
        </row>
        <row r="1006">
          <cell r="A1006" t="str">
            <v>LAF702</v>
          </cell>
          <cell r="B1006" t="str">
            <v>D</v>
          </cell>
          <cell r="C1006">
            <v>31.91</v>
          </cell>
        </row>
        <row r="1007">
          <cell r="A1007" t="str">
            <v>T709</v>
          </cell>
          <cell r="B1007" t="str">
            <v>D</v>
          </cell>
          <cell r="C1007">
            <v>35.82</v>
          </cell>
        </row>
        <row r="1008">
          <cell r="A1008" t="str">
            <v>PH710</v>
          </cell>
          <cell r="B1008" t="str">
            <v>D</v>
          </cell>
          <cell r="C1008">
            <v>8.9600000000000009</v>
          </cell>
        </row>
        <row r="1009">
          <cell r="A1009" t="str">
            <v>T711</v>
          </cell>
          <cell r="B1009" t="str">
            <v>B</v>
          </cell>
          <cell r="C1009">
            <v>24.47</v>
          </cell>
        </row>
        <row r="1010">
          <cell r="A1010" t="str">
            <v>LAF712</v>
          </cell>
          <cell r="B1010" t="str">
            <v>D</v>
          </cell>
          <cell r="C1010">
            <v>52.86</v>
          </cell>
        </row>
        <row r="1011">
          <cell r="A1011" t="str">
            <v>LP712</v>
          </cell>
          <cell r="B1011" t="str">
            <v>D</v>
          </cell>
          <cell r="C1011">
            <v>16.05</v>
          </cell>
        </row>
        <row r="1012">
          <cell r="A1012" t="str">
            <v>T713</v>
          </cell>
          <cell r="B1012" t="str">
            <v>D</v>
          </cell>
          <cell r="C1012">
            <v>43.08</v>
          </cell>
        </row>
        <row r="1013">
          <cell r="A1013" t="str">
            <v>T715A</v>
          </cell>
          <cell r="B1013" t="str">
            <v>B</v>
          </cell>
          <cell r="C1013">
            <v>33.15</v>
          </cell>
        </row>
        <row r="1014">
          <cell r="A1014" t="str">
            <v>T716</v>
          </cell>
          <cell r="B1014" t="str">
            <v>D</v>
          </cell>
          <cell r="C1014">
            <v>14.7</v>
          </cell>
        </row>
        <row r="1015">
          <cell r="A1015" t="str">
            <v>T717</v>
          </cell>
          <cell r="B1015" t="str">
            <v>D</v>
          </cell>
          <cell r="C1015">
            <v>22.46</v>
          </cell>
        </row>
        <row r="1016">
          <cell r="A1016" t="str">
            <v>T718</v>
          </cell>
          <cell r="B1016" t="str">
            <v>D</v>
          </cell>
          <cell r="C1016">
            <v>32.26</v>
          </cell>
        </row>
        <row r="1017">
          <cell r="A1017" t="str">
            <v>T719</v>
          </cell>
          <cell r="B1017" t="str">
            <v>D</v>
          </cell>
          <cell r="C1017">
            <v>38.18</v>
          </cell>
        </row>
        <row r="1018">
          <cell r="A1018" t="str">
            <v>G720</v>
          </cell>
          <cell r="B1018" t="str">
            <v>D</v>
          </cell>
          <cell r="C1018">
            <v>27.48</v>
          </cell>
        </row>
        <row r="1019">
          <cell r="A1019" t="str">
            <v>PH720</v>
          </cell>
          <cell r="B1019" t="str">
            <v>C</v>
          </cell>
          <cell r="C1019">
            <v>20.46</v>
          </cell>
        </row>
        <row r="1020">
          <cell r="A1020" t="str">
            <v>T721</v>
          </cell>
          <cell r="B1020" t="str">
            <v>A</v>
          </cell>
          <cell r="C1020">
            <v>36.22</v>
          </cell>
        </row>
        <row r="1021">
          <cell r="A1021" t="str">
            <v>T722</v>
          </cell>
          <cell r="B1021" t="str">
            <v>D</v>
          </cell>
          <cell r="C1021">
            <v>38.21</v>
          </cell>
        </row>
        <row r="1022">
          <cell r="A1022" t="str">
            <v>T723</v>
          </cell>
          <cell r="B1022" t="str">
            <v>D</v>
          </cell>
          <cell r="C1022">
            <v>14.67</v>
          </cell>
        </row>
        <row r="1023">
          <cell r="A1023" t="str">
            <v>T724</v>
          </cell>
          <cell r="B1023" t="str">
            <v>D</v>
          </cell>
          <cell r="C1023">
            <v>33.17</v>
          </cell>
        </row>
        <row r="1024">
          <cell r="A1024" t="str">
            <v>PH725</v>
          </cell>
          <cell r="B1024" t="str">
            <v>B</v>
          </cell>
          <cell r="C1024">
            <v>14.52</v>
          </cell>
        </row>
        <row r="1025">
          <cell r="A1025" t="str">
            <v>T726</v>
          </cell>
          <cell r="B1025" t="str">
            <v>D</v>
          </cell>
          <cell r="C1025">
            <v>30.8</v>
          </cell>
        </row>
        <row r="1026">
          <cell r="A1026" t="str">
            <v>LAF727</v>
          </cell>
          <cell r="B1026" t="str">
            <v>D</v>
          </cell>
          <cell r="C1026">
            <v>93.07</v>
          </cell>
        </row>
        <row r="1027">
          <cell r="A1027" t="str">
            <v>AF728</v>
          </cell>
          <cell r="B1027" t="str">
            <v>D</v>
          </cell>
          <cell r="C1027">
            <v>7.74</v>
          </cell>
        </row>
        <row r="1028">
          <cell r="A1028" t="str">
            <v>T729</v>
          </cell>
          <cell r="B1028" t="str">
            <v>D</v>
          </cell>
          <cell r="C1028">
            <v>29.61</v>
          </cell>
        </row>
        <row r="1029">
          <cell r="A1029" t="str">
            <v>T730</v>
          </cell>
          <cell r="B1029" t="str">
            <v>D</v>
          </cell>
          <cell r="C1029">
            <v>21.15</v>
          </cell>
        </row>
        <row r="1030">
          <cell r="A1030" t="str">
            <v>T732</v>
          </cell>
          <cell r="B1030" t="str">
            <v>D</v>
          </cell>
          <cell r="C1030">
            <v>30.21</v>
          </cell>
        </row>
        <row r="1031">
          <cell r="A1031" t="str">
            <v>AF734</v>
          </cell>
          <cell r="B1031" t="str">
            <v>D</v>
          </cell>
          <cell r="C1031">
            <v>9.6</v>
          </cell>
        </row>
        <row r="1032">
          <cell r="A1032" t="str">
            <v>LFP734</v>
          </cell>
          <cell r="B1032" t="str">
            <v>B</v>
          </cell>
          <cell r="C1032">
            <v>21.86</v>
          </cell>
        </row>
        <row r="1033">
          <cell r="A1033" t="str">
            <v>AF735</v>
          </cell>
          <cell r="B1033" t="str">
            <v>D</v>
          </cell>
          <cell r="C1033">
            <v>13.64</v>
          </cell>
        </row>
        <row r="1034">
          <cell r="A1034" t="str">
            <v>AF736</v>
          </cell>
          <cell r="B1034" t="str">
            <v>D</v>
          </cell>
          <cell r="C1034">
            <v>8.69</v>
          </cell>
        </row>
        <row r="1035">
          <cell r="A1035" t="str">
            <v>T738</v>
          </cell>
          <cell r="B1035" t="str">
            <v>D</v>
          </cell>
          <cell r="C1035">
            <v>17.05</v>
          </cell>
        </row>
        <row r="1036">
          <cell r="A1036" t="str">
            <v>PC741</v>
          </cell>
          <cell r="B1036" t="str">
            <v>D</v>
          </cell>
          <cell r="C1036">
            <v>9.14</v>
          </cell>
        </row>
        <row r="1037">
          <cell r="A1037" t="str">
            <v>LAF744</v>
          </cell>
          <cell r="B1037" t="str">
            <v>D</v>
          </cell>
          <cell r="C1037">
            <v>50.02</v>
          </cell>
        </row>
        <row r="1038">
          <cell r="A1038" t="str">
            <v>LAF745</v>
          </cell>
          <cell r="B1038" t="str">
            <v>D</v>
          </cell>
          <cell r="C1038">
            <v>59.96</v>
          </cell>
        </row>
        <row r="1039">
          <cell r="A1039">
            <v>751</v>
          </cell>
          <cell r="B1039" t="str">
            <v>D</v>
          </cell>
          <cell r="C1039">
            <v>11.11</v>
          </cell>
        </row>
        <row r="1040">
          <cell r="A1040" t="str">
            <v>G751</v>
          </cell>
          <cell r="B1040" t="str">
            <v>D</v>
          </cell>
          <cell r="C1040">
            <v>5.34</v>
          </cell>
        </row>
        <row r="1041">
          <cell r="A1041" t="str">
            <v>G752</v>
          </cell>
          <cell r="B1041" t="str">
            <v>D</v>
          </cell>
          <cell r="C1041">
            <v>5.66</v>
          </cell>
        </row>
        <row r="1042">
          <cell r="A1042" t="str">
            <v>AF753</v>
          </cell>
          <cell r="B1042" t="str">
            <v>D</v>
          </cell>
          <cell r="C1042">
            <v>14.37</v>
          </cell>
        </row>
        <row r="1043">
          <cell r="A1043" t="str">
            <v>PC754</v>
          </cell>
          <cell r="B1043" t="str">
            <v>D</v>
          </cell>
          <cell r="C1043">
            <v>11.51</v>
          </cell>
        </row>
        <row r="1044">
          <cell r="A1044" t="str">
            <v>AF756</v>
          </cell>
          <cell r="B1044" t="str">
            <v>D</v>
          </cell>
          <cell r="C1044">
            <v>16.07</v>
          </cell>
        </row>
        <row r="1045">
          <cell r="A1045" t="str">
            <v>PC758</v>
          </cell>
          <cell r="B1045" t="str">
            <v>D</v>
          </cell>
          <cell r="C1045">
            <v>9.02</v>
          </cell>
        </row>
        <row r="1046">
          <cell r="A1046" t="str">
            <v>LAF760A</v>
          </cell>
          <cell r="B1046" t="str">
            <v>D</v>
          </cell>
          <cell r="C1046">
            <v>63.34</v>
          </cell>
        </row>
        <row r="1047">
          <cell r="A1047" t="str">
            <v>PC761</v>
          </cell>
          <cell r="B1047" t="str">
            <v>D</v>
          </cell>
          <cell r="C1047">
            <v>16.78</v>
          </cell>
        </row>
        <row r="1048">
          <cell r="A1048" t="str">
            <v>LFF762</v>
          </cell>
          <cell r="B1048" t="str">
            <v>D</v>
          </cell>
          <cell r="C1048">
            <v>11.46</v>
          </cell>
        </row>
        <row r="1049">
          <cell r="A1049" t="str">
            <v>T764</v>
          </cell>
          <cell r="B1049" t="str">
            <v>D</v>
          </cell>
          <cell r="C1049">
            <v>16.11</v>
          </cell>
        </row>
        <row r="1050">
          <cell r="A1050" t="str">
            <v>T766</v>
          </cell>
          <cell r="B1050" t="str">
            <v>B</v>
          </cell>
          <cell r="C1050">
            <v>51.96</v>
          </cell>
        </row>
        <row r="1051">
          <cell r="A1051" t="str">
            <v>T770</v>
          </cell>
          <cell r="B1051" t="str">
            <v>D</v>
          </cell>
          <cell r="C1051">
            <v>33.56</v>
          </cell>
        </row>
        <row r="1052">
          <cell r="A1052" t="str">
            <v>P771</v>
          </cell>
          <cell r="B1052" t="str">
            <v>D</v>
          </cell>
          <cell r="C1052">
            <v>19.27</v>
          </cell>
        </row>
        <row r="1053">
          <cell r="A1053" t="str">
            <v>P771A</v>
          </cell>
          <cell r="B1053" t="str">
            <v>D</v>
          </cell>
          <cell r="C1053">
            <v>11.81</v>
          </cell>
        </row>
        <row r="1054">
          <cell r="A1054" t="str">
            <v>AF772</v>
          </cell>
          <cell r="B1054" t="str">
            <v>D</v>
          </cell>
          <cell r="C1054">
            <v>11.61</v>
          </cell>
        </row>
        <row r="1055">
          <cell r="A1055" t="str">
            <v>P772</v>
          </cell>
          <cell r="B1055" t="str">
            <v>D</v>
          </cell>
          <cell r="C1055">
            <v>7.34</v>
          </cell>
        </row>
        <row r="1056">
          <cell r="A1056" t="str">
            <v>AF773</v>
          </cell>
          <cell r="B1056" t="str">
            <v>D</v>
          </cell>
          <cell r="C1056">
            <v>8.3699999999999992</v>
          </cell>
        </row>
        <row r="1057">
          <cell r="A1057" t="str">
            <v>PC774</v>
          </cell>
          <cell r="B1057" t="str">
            <v>D</v>
          </cell>
          <cell r="C1057">
            <v>15.09</v>
          </cell>
        </row>
        <row r="1058">
          <cell r="A1058" t="str">
            <v>PC775</v>
          </cell>
          <cell r="B1058" t="str">
            <v>D</v>
          </cell>
          <cell r="C1058">
            <v>7.03</v>
          </cell>
        </row>
        <row r="1059">
          <cell r="A1059" t="str">
            <v>PC776</v>
          </cell>
          <cell r="B1059" t="str">
            <v>D</v>
          </cell>
          <cell r="C1059">
            <v>11.11</v>
          </cell>
        </row>
        <row r="1060">
          <cell r="A1060" t="str">
            <v>A777</v>
          </cell>
          <cell r="B1060" t="str">
            <v>D</v>
          </cell>
          <cell r="C1060">
            <v>53.35</v>
          </cell>
        </row>
        <row r="1061">
          <cell r="A1061" t="str">
            <v>LFP777B</v>
          </cell>
          <cell r="B1061" t="str">
            <v>A</v>
          </cell>
          <cell r="C1061">
            <v>20.54</v>
          </cell>
        </row>
        <row r="1062">
          <cell r="A1062" t="str">
            <v>LFP777XL</v>
          </cell>
          <cell r="B1062" t="str">
            <v>D</v>
          </cell>
          <cell r="C1062">
            <v>48.33</v>
          </cell>
        </row>
        <row r="1063">
          <cell r="A1063" t="str">
            <v>PC778</v>
          </cell>
          <cell r="B1063" t="str">
            <v>D</v>
          </cell>
          <cell r="C1063">
            <v>8.35</v>
          </cell>
        </row>
        <row r="1064">
          <cell r="A1064" t="str">
            <v>G779</v>
          </cell>
          <cell r="B1064" t="str">
            <v>D</v>
          </cell>
          <cell r="C1064">
            <v>4.67</v>
          </cell>
        </row>
        <row r="1065">
          <cell r="A1065" t="str">
            <v>LFP780</v>
          </cell>
          <cell r="B1065" t="str">
            <v>A</v>
          </cell>
          <cell r="C1065">
            <v>7.1</v>
          </cell>
        </row>
        <row r="1066">
          <cell r="A1066" t="str">
            <v>LFP780XL</v>
          </cell>
          <cell r="B1066" t="str">
            <v>C</v>
          </cell>
          <cell r="C1066">
            <v>34.5</v>
          </cell>
        </row>
        <row r="1067">
          <cell r="A1067" t="str">
            <v>LFP781</v>
          </cell>
          <cell r="B1067" t="str">
            <v>C</v>
          </cell>
          <cell r="C1067">
            <v>11.69</v>
          </cell>
        </row>
        <row r="1068">
          <cell r="A1068" t="str">
            <v>LFP784</v>
          </cell>
          <cell r="B1068" t="str">
            <v>B</v>
          </cell>
          <cell r="C1068">
            <v>11.21</v>
          </cell>
        </row>
        <row r="1069">
          <cell r="A1069" t="str">
            <v>AF785</v>
          </cell>
          <cell r="B1069" t="str">
            <v>D</v>
          </cell>
          <cell r="C1069">
            <v>8.64</v>
          </cell>
        </row>
        <row r="1070">
          <cell r="A1070" t="str">
            <v>PH787</v>
          </cell>
          <cell r="B1070" t="str">
            <v>D</v>
          </cell>
          <cell r="C1070">
            <v>13.4</v>
          </cell>
        </row>
        <row r="1071">
          <cell r="A1071" t="str">
            <v>LFP791</v>
          </cell>
          <cell r="B1071" t="str">
            <v>B</v>
          </cell>
          <cell r="C1071">
            <v>8.64</v>
          </cell>
        </row>
        <row r="1072">
          <cell r="A1072" t="str">
            <v>PC793</v>
          </cell>
          <cell r="B1072" t="str">
            <v>D</v>
          </cell>
          <cell r="C1072">
            <v>15.03</v>
          </cell>
        </row>
        <row r="1073">
          <cell r="A1073" t="str">
            <v>G796</v>
          </cell>
          <cell r="B1073" t="str">
            <v>D</v>
          </cell>
          <cell r="C1073">
            <v>11.76</v>
          </cell>
        </row>
        <row r="1074">
          <cell r="A1074" t="str">
            <v>LP798</v>
          </cell>
          <cell r="B1074" t="str">
            <v>D</v>
          </cell>
          <cell r="C1074">
            <v>37.11</v>
          </cell>
        </row>
        <row r="1075">
          <cell r="A1075" t="str">
            <v>G800</v>
          </cell>
          <cell r="B1075" t="str">
            <v>A</v>
          </cell>
          <cell r="C1075">
            <v>8.15</v>
          </cell>
        </row>
        <row r="1076">
          <cell r="A1076" t="str">
            <v>G803</v>
          </cell>
          <cell r="B1076" t="str">
            <v>D</v>
          </cell>
          <cell r="C1076">
            <v>6.33</v>
          </cell>
        </row>
        <row r="1077">
          <cell r="A1077" t="str">
            <v>LFP805</v>
          </cell>
          <cell r="B1077" t="str">
            <v>A</v>
          </cell>
          <cell r="C1077">
            <v>26.91</v>
          </cell>
        </row>
        <row r="1078">
          <cell r="A1078" t="str">
            <v>PC810</v>
          </cell>
          <cell r="B1078" t="str">
            <v>D</v>
          </cell>
          <cell r="C1078">
            <v>52.39</v>
          </cell>
        </row>
        <row r="1079">
          <cell r="A1079" t="str">
            <v>LFP811F</v>
          </cell>
          <cell r="B1079" t="str">
            <v>C</v>
          </cell>
          <cell r="C1079">
            <v>11.47</v>
          </cell>
        </row>
        <row r="1080">
          <cell r="A1080" t="str">
            <v>AF812</v>
          </cell>
          <cell r="B1080" t="str">
            <v>D</v>
          </cell>
          <cell r="C1080">
            <v>11.64</v>
          </cell>
        </row>
        <row r="1081">
          <cell r="A1081" t="str">
            <v>LFP815FN</v>
          </cell>
          <cell r="B1081" t="str">
            <v>A</v>
          </cell>
          <cell r="C1081">
            <v>8.33</v>
          </cell>
        </row>
        <row r="1082">
          <cell r="A1082" t="str">
            <v>LP815</v>
          </cell>
          <cell r="B1082" t="str">
            <v>D</v>
          </cell>
          <cell r="C1082">
            <v>23.41</v>
          </cell>
        </row>
        <row r="1083">
          <cell r="A1083" t="str">
            <v>LFP816FN</v>
          </cell>
          <cell r="B1083" t="str">
            <v>A</v>
          </cell>
          <cell r="C1083">
            <v>8.23</v>
          </cell>
        </row>
        <row r="1084">
          <cell r="A1084" t="str">
            <v>LP816</v>
          </cell>
          <cell r="B1084" t="str">
            <v>D</v>
          </cell>
          <cell r="C1084">
            <v>12.53</v>
          </cell>
        </row>
        <row r="1085">
          <cell r="A1085" t="str">
            <v>P819</v>
          </cell>
          <cell r="B1085" t="str">
            <v>D</v>
          </cell>
          <cell r="C1085">
            <v>8.9</v>
          </cell>
        </row>
        <row r="1086">
          <cell r="A1086" t="str">
            <v>P820</v>
          </cell>
          <cell r="B1086" t="str">
            <v>D</v>
          </cell>
          <cell r="C1086">
            <v>11.73</v>
          </cell>
        </row>
        <row r="1087">
          <cell r="A1087" t="str">
            <v>PH820</v>
          </cell>
          <cell r="B1087" t="str">
            <v>A</v>
          </cell>
          <cell r="C1087">
            <v>6.52</v>
          </cell>
        </row>
        <row r="1088">
          <cell r="A1088" t="str">
            <v>PH820M</v>
          </cell>
          <cell r="B1088" t="str">
            <v>N</v>
          </cell>
          <cell r="C1088">
            <v>6.62</v>
          </cell>
        </row>
        <row r="1089">
          <cell r="A1089" t="str">
            <v>P822</v>
          </cell>
          <cell r="B1089" t="str">
            <v>D</v>
          </cell>
          <cell r="C1089">
            <v>12.97</v>
          </cell>
        </row>
        <row r="1090">
          <cell r="A1090" t="str">
            <v>P823</v>
          </cell>
          <cell r="B1090" t="str">
            <v>D</v>
          </cell>
          <cell r="C1090">
            <v>10.050000000000001</v>
          </cell>
        </row>
        <row r="1091">
          <cell r="A1091" t="str">
            <v>AF824</v>
          </cell>
          <cell r="B1091" t="str">
            <v>D</v>
          </cell>
          <cell r="C1091">
            <v>11.48</v>
          </cell>
        </row>
        <row r="1092">
          <cell r="A1092" t="str">
            <v>P824A</v>
          </cell>
          <cell r="B1092" t="str">
            <v>D</v>
          </cell>
          <cell r="C1092">
            <v>9.1</v>
          </cell>
        </row>
        <row r="1093">
          <cell r="A1093" t="str">
            <v>P825</v>
          </cell>
          <cell r="B1093" t="str">
            <v>D</v>
          </cell>
          <cell r="C1093">
            <v>12.35</v>
          </cell>
        </row>
        <row r="1094">
          <cell r="A1094" t="str">
            <v>AF826</v>
          </cell>
          <cell r="B1094" t="str">
            <v>D</v>
          </cell>
          <cell r="C1094">
            <v>10.89</v>
          </cell>
        </row>
        <row r="1095">
          <cell r="A1095" t="str">
            <v>LAF826</v>
          </cell>
          <cell r="B1095" t="str">
            <v>D</v>
          </cell>
          <cell r="C1095">
            <v>76.09</v>
          </cell>
        </row>
        <row r="1096">
          <cell r="A1096" t="str">
            <v>P828</v>
          </cell>
          <cell r="B1096" t="str">
            <v>D</v>
          </cell>
          <cell r="C1096">
            <v>8.4499999999999993</v>
          </cell>
        </row>
        <row r="1097">
          <cell r="A1097" t="str">
            <v>P829</v>
          </cell>
          <cell r="B1097" t="str">
            <v>D</v>
          </cell>
          <cell r="C1097">
            <v>17.89</v>
          </cell>
        </row>
        <row r="1098">
          <cell r="A1098" t="str">
            <v>P830</v>
          </cell>
          <cell r="B1098" t="str">
            <v>D</v>
          </cell>
          <cell r="C1098">
            <v>20.79</v>
          </cell>
        </row>
        <row r="1099">
          <cell r="A1099" t="str">
            <v>PH832</v>
          </cell>
          <cell r="B1099" t="str">
            <v>B</v>
          </cell>
          <cell r="C1099">
            <v>11.16</v>
          </cell>
        </row>
        <row r="1100">
          <cell r="A1100" t="str">
            <v>P833</v>
          </cell>
          <cell r="B1100" t="str">
            <v>D</v>
          </cell>
          <cell r="C1100">
            <v>12.97</v>
          </cell>
        </row>
        <row r="1101">
          <cell r="A1101" t="str">
            <v>P834</v>
          </cell>
          <cell r="B1101" t="str">
            <v>D</v>
          </cell>
          <cell r="C1101">
            <v>13.37</v>
          </cell>
        </row>
        <row r="1102">
          <cell r="A1102" t="str">
            <v>AF836</v>
          </cell>
          <cell r="B1102" t="str">
            <v>D</v>
          </cell>
          <cell r="C1102">
            <v>14.37</v>
          </cell>
        </row>
        <row r="1103">
          <cell r="A1103" t="str">
            <v>P837</v>
          </cell>
          <cell r="B1103" t="str">
            <v>C</v>
          </cell>
          <cell r="C1103">
            <v>22.7</v>
          </cell>
        </row>
        <row r="1104">
          <cell r="A1104" t="str">
            <v>P838</v>
          </cell>
          <cell r="B1104" t="str">
            <v>D</v>
          </cell>
          <cell r="C1104">
            <v>28.66</v>
          </cell>
        </row>
        <row r="1105">
          <cell r="A1105" t="str">
            <v>G840</v>
          </cell>
          <cell r="B1105" t="str">
            <v>D</v>
          </cell>
          <cell r="C1105">
            <v>10.78</v>
          </cell>
        </row>
        <row r="1106">
          <cell r="A1106" t="str">
            <v>P841</v>
          </cell>
          <cell r="B1106" t="str">
            <v>D</v>
          </cell>
          <cell r="C1106">
            <v>26.13</v>
          </cell>
        </row>
        <row r="1107">
          <cell r="A1107" t="str">
            <v>P842</v>
          </cell>
          <cell r="B1107" t="str">
            <v>D</v>
          </cell>
          <cell r="C1107">
            <v>13.19</v>
          </cell>
        </row>
        <row r="1108">
          <cell r="A1108" t="str">
            <v>P843</v>
          </cell>
          <cell r="B1108" t="str">
            <v>D</v>
          </cell>
          <cell r="C1108">
            <v>15.51</v>
          </cell>
        </row>
        <row r="1109">
          <cell r="A1109" t="str">
            <v>P844</v>
          </cell>
          <cell r="B1109" t="str">
            <v>D</v>
          </cell>
          <cell r="C1109">
            <v>59.26</v>
          </cell>
        </row>
        <row r="1110">
          <cell r="A1110" t="str">
            <v>P845</v>
          </cell>
          <cell r="B1110" t="str">
            <v>D</v>
          </cell>
          <cell r="C1110">
            <v>20.14</v>
          </cell>
        </row>
        <row r="1111">
          <cell r="A1111" t="str">
            <v>P846</v>
          </cell>
          <cell r="B1111" t="str">
            <v>D</v>
          </cell>
          <cell r="C1111">
            <v>21.62</v>
          </cell>
        </row>
        <row r="1112">
          <cell r="A1112" t="str">
            <v>P847</v>
          </cell>
          <cell r="B1112" t="str">
            <v>D</v>
          </cell>
          <cell r="C1112">
            <v>24.96</v>
          </cell>
        </row>
        <row r="1113">
          <cell r="A1113" t="str">
            <v>G848</v>
          </cell>
          <cell r="B1113" t="str">
            <v>D</v>
          </cell>
          <cell r="C1113">
            <v>9.64</v>
          </cell>
        </row>
        <row r="1114">
          <cell r="A1114" t="str">
            <v>LAF851</v>
          </cell>
          <cell r="B1114" t="str">
            <v>D</v>
          </cell>
          <cell r="C1114">
            <v>39.869999999999997</v>
          </cell>
        </row>
        <row r="1115">
          <cell r="A1115" t="str">
            <v>LAF852</v>
          </cell>
          <cell r="B1115" t="str">
            <v>D</v>
          </cell>
          <cell r="C1115">
            <v>42.89</v>
          </cell>
        </row>
        <row r="1116">
          <cell r="A1116" t="str">
            <v>G853</v>
          </cell>
          <cell r="B1116" t="str">
            <v>D</v>
          </cell>
          <cell r="C1116">
            <v>9.26</v>
          </cell>
        </row>
        <row r="1117">
          <cell r="A1117" t="str">
            <v>LAF853</v>
          </cell>
          <cell r="B1117" t="str">
            <v>D</v>
          </cell>
          <cell r="C1117">
            <v>55.33</v>
          </cell>
        </row>
        <row r="1118">
          <cell r="A1118" t="str">
            <v>G855</v>
          </cell>
          <cell r="B1118" t="str">
            <v>D</v>
          </cell>
          <cell r="C1118">
            <v>9.15</v>
          </cell>
        </row>
        <row r="1119">
          <cell r="A1119" t="str">
            <v>P856</v>
          </cell>
          <cell r="B1119" t="str">
            <v>C</v>
          </cell>
          <cell r="C1119">
            <v>19.72</v>
          </cell>
        </row>
        <row r="1120">
          <cell r="A1120" t="str">
            <v>AF861</v>
          </cell>
          <cell r="B1120" t="str">
            <v>D</v>
          </cell>
          <cell r="C1120">
            <v>10.36</v>
          </cell>
        </row>
        <row r="1121">
          <cell r="A1121" t="str">
            <v>AF862</v>
          </cell>
          <cell r="B1121" t="str">
            <v>D</v>
          </cell>
          <cell r="C1121">
            <v>33.06</v>
          </cell>
        </row>
        <row r="1122">
          <cell r="A1122" t="str">
            <v>FP862F</v>
          </cell>
          <cell r="B1122" t="str">
            <v>D</v>
          </cell>
          <cell r="C1122">
            <v>11.71</v>
          </cell>
        </row>
        <row r="1123">
          <cell r="A1123" t="str">
            <v>FP863F</v>
          </cell>
          <cell r="B1123" t="str">
            <v>D</v>
          </cell>
          <cell r="C1123">
            <v>13.03</v>
          </cell>
        </row>
        <row r="1124">
          <cell r="A1124" t="str">
            <v>LAF863</v>
          </cell>
          <cell r="B1124" t="str">
            <v>D</v>
          </cell>
          <cell r="C1124">
            <v>44.7</v>
          </cell>
        </row>
        <row r="1125">
          <cell r="A1125" t="str">
            <v>T865</v>
          </cell>
          <cell r="B1125" t="str">
            <v>D</v>
          </cell>
          <cell r="C1125">
            <v>31.64</v>
          </cell>
        </row>
        <row r="1126">
          <cell r="A1126" t="str">
            <v>T866</v>
          </cell>
          <cell r="B1126" t="str">
            <v>D</v>
          </cell>
          <cell r="C1126">
            <v>45.28</v>
          </cell>
        </row>
        <row r="1127">
          <cell r="A1127" t="str">
            <v>T867</v>
          </cell>
          <cell r="B1127" t="str">
            <v>D</v>
          </cell>
          <cell r="C1127">
            <v>22.01</v>
          </cell>
        </row>
        <row r="1128">
          <cell r="A1128" t="str">
            <v>LFF870</v>
          </cell>
          <cell r="B1128" t="str">
            <v>D</v>
          </cell>
          <cell r="C1128">
            <v>17.45</v>
          </cell>
        </row>
        <row r="1129">
          <cell r="A1129" t="str">
            <v>LFF871</v>
          </cell>
          <cell r="B1129" t="str">
            <v>C</v>
          </cell>
          <cell r="C1129">
            <v>20.52</v>
          </cell>
        </row>
        <row r="1130">
          <cell r="A1130" t="str">
            <v>T873</v>
          </cell>
          <cell r="B1130" t="str">
            <v>D</v>
          </cell>
          <cell r="C1130">
            <v>29.09</v>
          </cell>
        </row>
        <row r="1131">
          <cell r="A1131" t="str">
            <v>AF875</v>
          </cell>
          <cell r="B1131" t="str">
            <v>D</v>
          </cell>
          <cell r="C1131">
            <v>19.43</v>
          </cell>
        </row>
        <row r="1132">
          <cell r="A1132" t="str">
            <v>T876</v>
          </cell>
          <cell r="B1132" t="str">
            <v>D</v>
          </cell>
          <cell r="C1132">
            <v>32.93</v>
          </cell>
        </row>
        <row r="1133">
          <cell r="A1133" t="str">
            <v>L877F</v>
          </cell>
          <cell r="B1133" t="str">
            <v>D</v>
          </cell>
          <cell r="C1133">
            <v>23.54</v>
          </cell>
        </row>
        <row r="1134">
          <cell r="A1134" t="str">
            <v>T877</v>
          </cell>
          <cell r="B1134" t="str">
            <v>D</v>
          </cell>
          <cell r="C1134">
            <v>24.21</v>
          </cell>
        </row>
        <row r="1135">
          <cell r="A1135" t="str">
            <v>T878</v>
          </cell>
          <cell r="B1135" t="str">
            <v>D</v>
          </cell>
          <cell r="C1135">
            <v>31.32</v>
          </cell>
        </row>
        <row r="1136">
          <cell r="A1136" t="str">
            <v>LAF879</v>
          </cell>
          <cell r="B1136" t="str">
            <v>D</v>
          </cell>
          <cell r="C1136">
            <v>100.79</v>
          </cell>
        </row>
        <row r="1137">
          <cell r="A1137" t="str">
            <v>LAF880</v>
          </cell>
          <cell r="B1137" t="str">
            <v>D</v>
          </cell>
          <cell r="C1137">
            <v>201.94</v>
          </cell>
        </row>
        <row r="1138">
          <cell r="A1138" t="str">
            <v>LFP880</v>
          </cell>
          <cell r="B1138" t="str">
            <v>C</v>
          </cell>
          <cell r="C1138">
            <v>10.51</v>
          </cell>
        </row>
        <row r="1139">
          <cell r="A1139" t="str">
            <v>LAF884</v>
          </cell>
          <cell r="B1139" t="str">
            <v>D</v>
          </cell>
          <cell r="C1139">
            <v>65.05</v>
          </cell>
        </row>
        <row r="1140">
          <cell r="A1140" t="str">
            <v>FP886</v>
          </cell>
          <cell r="B1140" t="str">
            <v>D</v>
          </cell>
          <cell r="C1140">
            <v>24.11</v>
          </cell>
        </row>
        <row r="1141">
          <cell r="A1141" t="str">
            <v>FP887F</v>
          </cell>
          <cell r="B1141" t="str">
            <v>D</v>
          </cell>
          <cell r="C1141">
            <v>31.2</v>
          </cell>
        </row>
        <row r="1142">
          <cell r="A1142" t="str">
            <v>FP888</v>
          </cell>
          <cell r="B1142" t="str">
            <v>D</v>
          </cell>
          <cell r="C1142">
            <v>18.010000000000002</v>
          </cell>
        </row>
        <row r="1143">
          <cell r="A1143" t="str">
            <v>FP889F</v>
          </cell>
          <cell r="B1143" t="str">
            <v>D</v>
          </cell>
          <cell r="C1143">
            <v>18.66</v>
          </cell>
        </row>
        <row r="1144">
          <cell r="A1144" t="str">
            <v>FP891</v>
          </cell>
          <cell r="B1144" t="str">
            <v>D</v>
          </cell>
          <cell r="C1144">
            <v>55.08</v>
          </cell>
        </row>
        <row r="1145">
          <cell r="A1145" t="str">
            <v>AF893</v>
          </cell>
          <cell r="B1145" t="str">
            <v>D</v>
          </cell>
          <cell r="C1145">
            <v>16.16</v>
          </cell>
        </row>
        <row r="1146">
          <cell r="A1146" t="str">
            <v>AF895</v>
          </cell>
          <cell r="B1146" t="str">
            <v>D</v>
          </cell>
          <cell r="C1146">
            <v>16.21</v>
          </cell>
        </row>
        <row r="1147">
          <cell r="A1147">
            <v>897</v>
          </cell>
          <cell r="B1147" t="str">
            <v>D</v>
          </cell>
          <cell r="C1147">
            <v>0.72</v>
          </cell>
        </row>
        <row r="1148">
          <cell r="A1148" t="str">
            <v>L897B</v>
          </cell>
          <cell r="B1148" t="str">
            <v>D</v>
          </cell>
          <cell r="C1148">
            <v>212.78</v>
          </cell>
        </row>
        <row r="1149">
          <cell r="A1149" t="str">
            <v>L899BSP</v>
          </cell>
          <cell r="B1149" t="str">
            <v>D</v>
          </cell>
          <cell r="C1149">
            <v>78.16</v>
          </cell>
        </row>
        <row r="1150">
          <cell r="A1150" t="str">
            <v>L900B</v>
          </cell>
          <cell r="B1150" t="str">
            <v>D</v>
          </cell>
          <cell r="C1150">
            <v>53.34</v>
          </cell>
        </row>
        <row r="1151">
          <cell r="A1151" t="str">
            <v>LMB900</v>
          </cell>
          <cell r="B1151" t="str">
            <v>D</v>
          </cell>
          <cell r="C1151">
            <v>55.61</v>
          </cell>
        </row>
        <row r="1152">
          <cell r="A1152" t="str">
            <v>FP901F</v>
          </cell>
          <cell r="B1152" t="str">
            <v>D</v>
          </cell>
          <cell r="C1152">
            <v>10.65</v>
          </cell>
        </row>
        <row r="1153">
          <cell r="A1153" t="str">
            <v>L901B</v>
          </cell>
          <cell r="B1153" t="str">
            <v>D</v>
          </cell>
          <cell r="C1153">
            <v>100.69</v>
          </cell>
        </row>
        <row r="1154">
          <cell r="A1154" t="str">
            <v>LFF902</v>
          </cell>
          <cell r="B1154" t="str">
            <v>C</v>
          </cell>
          <cell r="C1154">
            <v>33.369999999999997</v>
          </cell>
        </row>
        <row r="1155">
          <cell r="A1155" t="str">
            <v>LFF903</v>
          </cell>
          <cell r="B1155" t="str">
            <v>D</v>
          </cell>
          <cell r="C1155">
            <v>24.81</v>
          </cell>
        </row>
        <row r="1156">
          <cell r="A1156" t="str">
            <v>AF905</v>
          </cell>
          <cell r="B1156" t="str">
            <v>D</v>
          </cell>
          <cell r="C1156">
            <v>12.25</v>
          </cell>
        </row>
        <row r="1157">
          <cell r="A1157" t="str">
            <v>LFF905</v>
          </cell>
          <cell r="B1157" t="str">
            <v>D</v>
          </cell>
          <cell r="C1157">
            <v>34.659999999999997</v>
          </cell>
        </row>
        <row r="1158">
          <cell r="A1158" t="str">
            <v>LFF906</v>
          </cell>
          <cell r="B1158" t="str">
            <v>D</v>
          </cell>
          <cell r="C1158">
            <v>41.49</v>
          </cell>
        </row>
        <row r="1159">
          <cell r="A1159" t="str">
            <v>P906</v>
          </cell>
          <cell r="B1159" t="str">
            <v>D</v>
          </cell>
          <cell r="C1159">
            <v>18.690000000000001</v>
          </cell>
        </row>
        <row r="1160">
          <cell r="A1160" t="str">
            <v>P907</v>
          </cell>
          <cell r="B1160" t="str">
            <v>D</v>
          </cell>
          <cell r="C1160">
            <v>15.61</v>
          </cell>
        </row>
        <row r="1161">
          <cell r="A1161" t="str">
            <v>P908</v>
          </cell>
          <cell r="B1161" t="str">
            <v>D</v>
          </cell>
          <cell r="C1161">
            <v>30.05</v>
          </cell>
        </row>
        <row r="1162">
          <cell r="A1162" t="str">
            <v>LAF909</v>
          </cell>
          <cell r="B1162" t="str">
            <v>D</v>
          </cell>
          <cell r="C1162">
            <v>28.01</v>
          </cell>
        </row>
        <row r="1163">
          <cell r="A1163" t="str">
            <v>LAF910</v>
          </cell>
          <cell r="B1163" t="str">
            <v>D</v>
          </cell>
          <cell r="C1163">
            <v>42.37</v>
          </cell>
        </row>
        <row r="1164">
          <cell r="A1164" t="str">
            <v>LFP911</v>
          </cell>
          <cell r="B1164" t="str">
            <v>B</v>
          </cell>
          <cell r="C1164">
            <v>18.510000000000002</v>
          </cell>
        </row>
        <row r="1165">
          <cell r="A1165" t="str">
            <v>LFP911XL</v>
          </cell>
          <cell r="B1165" t="str">
            <v>D</v>
          </cell>
          <cell r="C1165">
            <v>49.13</v>
          </cell>
        </row>
        <row r="1166">
          <cell r="A1166" t="str">
            <v>LFP912</v>
          </cell>
          <cell r="B1166" t="str">
            <v>D</v>
          </cell>
          <cell r="C1166">
            <v>17.29</v>
          </cell>
        </row>
        <row r="1167">
          <cell r="A1167" t="str">
            <v>PH915</v>
          </cell>
          <cell r="B1167" t="str">
            <v>D</v>
          </cell>
          <cell r="C1167">
            <v>22.06</v>
          </cell>
        </row>
        <row r="1168">
          <cell r="A1168" t="str">
            <v>LAF916</v>
          </cell>
          <cell r="B1168" t="str">
            <v>D</v>
          </cell>
          <cell r="C1168">
            <v>192.54</v>
          </cell>
        </row>
        <row r="1169">
          <cell r="A1169" t="str">
            <v>AF917</v>
          </cell>
          <cell r="B1169" t="str">
            <v>D</v>
          </cell>
          <cell r="C1169">
            <v>14.14</v>
          </cell>
        </row>
        <row r="1170">
          <cell r="A1170" t="str">
            <v>AF918</v>
          </cell>
          <cell r="B1170" t="str">
            <v>D</v>
          </cell>
          <cell r="C1170">
            <v>10.06</v>
          </cell>
        </row>
        <row r="1171">
          <cell r="A1171" t="str">
            <v>PH920</v>
          </cell>
          <cell r="B1171" t="str">
            <v>B</v>
          </cell>
          <cell r="C1171">
            <v>21.96</v>
          </cell>
        </row>
        <row r="1172">
          <cell r="A1172" t="str">
            <v>LFP923</v>
          </cell>
          <cell r="B1172" t="str">
            <v>C</v>
          </cell>
          <cell r="C1172">
            <v>15.35</v>
          </cell>
        </row>
        <row r="1173">
          <cell r="A1173" t="str">
            <v>AF925</v>
          </cell>
          <cell r="B1173" t="str">
            <v>D</v>
          </cell>
          <cell r="C1173">
            <v>11.89</v>
          </cell>
        </row>
        <row r="1174">
          <cell r="A1174" t="str">
            <v>LFP925F</v>
          </cell>
          <cell r="B1174" t="str">
            <v>C</v>
          </cell>
          <cell r="C1174">
            <v>13.16</v>
          </cell>
        </row>
        <row r="1175">
          <cell r="A1175" t="str">
            <v>LAF926</v>
          </cell>
          <cell r="B1175" t="str">
            <v>D</v>
          </cell>
          <cell r="C1175">
            <v>56.51</v>
          </cell>
        </row>
        <row r="1176">
          <cell r="A1176" t="str">
            <v>AF928</v>
          </cell>
          <cell r="B1176" t="str">
            <v>D</v>
          </cell>
          <cell r="C1176">
            <v>16.95</v>
          </cell>
        </row>
        <row r="1177">
          <cell r="A1177" t="str">
            <v>LAF928</v>
          </cell>
          <cell r="B1177" t="str">
            <v>D</v>
          </cell>
          <cell r="C1177">
            <v>76.42</v>
          </cell>
        </row>
        <row r="1178">
          <cell r="A1178" t="str">
            <v>LFP928F</v>
          </cell>
          <cell r="B1178" t="str">
            <v>B</v>
          </cell>
          <cell r="C1178">
            <v>9.1</v>
          </cell>
        </row>
        <row r="1179">
          <cell r="A1179" t="str">
            <v>P929</v>
          </cell>
          <cell r="B1179" t="str">
            <v>D</v>
          </cell>
          <cell r="C1179">
            <v>18.36</v>
          </cell>
        </row>
        <row r="1180">
          <cell r="A1180" t="str">
            <v>PH933</v>
          </cell>
          <cell r="B1180" t="str">
            <v>D</v>
          </cell>
          <cell r="C1180">
            <v>10.41</v>
          </cell>
        </row>
        <row r="1181">
          <cell r="A1181" t="str">
            <v>P935</v>
          </cell>
          <cell r="B1181" t="str">
            <v>D</v>
          </cell>
          <cell r="C1181">
            <v>13.09</v>
          </cell>
        </row>
        <row r="1182">
          <cell r="A1182" t="str">
            <v>LAF936</v>
          </cell>
          <cell r="B1182" t="str">
            <v>D</v>
          </cell>
          <cell r="C1182">
            <v>58.32</v>
          </cell>
        </row>
        <row r="1183">
          <cell r="A1183" t="str">
            <v>LFP936F</v>
          </cell>
          <cell r="B1183" t="str">
            <v>C</v>
          </cell>
          <cell r="C1183">
            <v>10.14</v>
          </cell>
        </row>
        <row r="1184">
          <cell r="A1184" t="str">
            <v>LAF937</v>
          </cell>
          <cell r="B1184" t="str">
            <v>D</v>
          </cell>
          <cell r="C1184">
            <v>52.41</v>
          </cell>
        </row>
        <row r="1185">
          <cell r="A1185" t="str">
            <v>LFF937</v>
          </cell>
          <cell r="B1185" t="str">
            <v>D</v>
          </cell>
          <cell r="C1185">
            <v>10.41</v>
          </cell>
        </row>
        <row r="1186">
          <cell r="A1186" t="str">
            <v>G939</v>
          </cell>
          <cell r="B1186" t="str">
            <v>D</v>
          </cell>
          <cell r="C1186">
            <v>28.07</v>
          </cell>
        </row>
        <row r="1187">
          <cell r="A1187" t="str">
            <v>FP941F</v>
          </cell>
          <cell r="B1187" t="str">
            <v>A</v>
          </cell>
          <cell r="C1187">
            <v>23.36</v>
          </cell>
        </row>
        <row r="1188">
          <cell r="A1188" t="str">
            <v>LAF942</v>
          </cell>
          <cell r="B1188" t="str">
            <v>D</v>
          </cell>
          <cell r="C1188">
            <v>40.75</v>
          </cell>
        </row>
        <row r="1189">
          <cell r="A1189" t="str">
            <v>LFP943F</v>
          </cell>
          <cell r="B1189" t="str">
            <v>D</v>
          </cell>
          <cell r="C1189">
            <v>14.73</v>
          </cell>
        </row>
        <row r="1190">
          <cell r="A1190" t="str">
            <v>LFP944F</v>
          </cell>
          <cell r="B1190" t="str">
            <v>D</v>
          </cell>
          <cell r="C1190">
            <v>13.61</v>
          </cell>
        </row>
        <row r="1191">
          <cell r="A1191" t="str">
            <v>LFP947</v>
          </cell>
          <cell r="B1191" t="str">
            <v>B</v>
          </cell>
          <cell r="C1191">
            <v>24.43</v>
          </cell>
        </row>
        <row r="1192">
          <cell r="A1192" t="str">
            <v>LFP950</v>
          </cell>
          <cell r="B1192" t="str">
            <v>C</v>
          </cell>
          <cell r="C1192">
            <v>12.86</v>
          </cell>
        </row>
        <row r="1193">
          <cell r="A1193" t="str">
            <v>T951</v>
          </cell>
          <cell r="B1193" t="str">
            <v>N</v>
          </cell>
          <cell r="C1193">
            <v>31.19</v>
          </cell>
        </row>
        <row r="1194">
          <cell r="A1194" t="str">
            <v>FP953F</v>
          </cell>
          <cell r="B1194" t="str">
            <v>D</v>
          </cell>
          <cell r="C1194">
            <v>28.68</v>
          </cell>
        </row>
        <row r="1195">
          <cell r="A1195" t="str">
            <v>LFP958F</v>
          </cell>
          <cell r="B1195" t="str">
            <v>D</v>
          </cell>
          <cell r="C1195">
            <v>24.3</v>
          </cell>
        </row>
        <row r="1196">
          <cell r="A1196" t="str">
            <v>LAF959</v>
          </cell>
          <cell r="B1196" t="str">
            <v>C</v>
          </cell>
          <cell r="C1196">
            <v>65.81</v>
          </cell>
        </row>
        <row r="1197">
          <cell r="A1197" t="str">
            <v>LFP959F</v>
          </cell>
          <cell r="B1197" t="str">
            <v>C</v>
          </cell>
          <cell r="C1197">
            <v>27.78</v>
          </cell>
        </row>
        <row r="1198">
          <cell r="A1198" t="str">
            <v>LFP959FHE</v>
          </cell>
          <cell r="B1198" t="str">
            <v>D</v>
          </cell>
          <cell r="C1198">
            <v>43.72</v>
          </cell>
        </row>
        <row r="1199">
          <cell r="A1199" t="str">
            <v>P960</v>
          </cell>
          <cell r="B1199" t="str">
            <v>B</v>
          </cell>
          <cell r="C1199">
            <v>10.58</v>
          </cell>
        </row>
        <row r="1200">
          <cell r="A1200" t="str">
            <v>P961</v>
          </cell>
          <cell r="B1200" t="str">
            <v>D</v>
          </cell>
          <cell r="C1200">
            <v>25.72</v>
          </cell>
        </row>
        <row r="1201">
          <cell r="A1201" t="str">
            <v>P962</v>
          </cell>
          <cell r="B1201" t="str">
            <v>D</v>
          </cell>
          <cell r="C1201">
            <v>21.22</v>
          </cell>
        </row>
        <row r="1202">
          <cell r="A1202" t="str">
            <v>P963</v>
          </cell>
          <cell r="B1202" t="str">
            <v>D</v>
          </cell>
          <cell r="C1202">
            <v>18.91</v>
          </cell>
        </row>
        <row r="1203">
          <cell r="A1203" t="str">
            <v>P964</v>
          </cell>
          <cell r="B1203" t="str">
            <v>D</v>
          </cell>
          <cell r="C1203">
            <v>13.37</v>
          </cell>
        </row>
        <row r="1204">
          <cell r="A1204" t="str">
            <v>LAF965</v>
          </cell>
          <cell r="B1204" t="str">
            <v>D</v>
          </cell>
          <cell r="C1204">
            <v>28.12</v>
          </cell>
        </row>
        <row r="1205">
          <cell r="A1205" t="str">
            <v>P966</v>
          </cell>
          <cell r="B1205" t="str">
            <v>D</v>
          </cell>
          <cell r="C1205">
            <v>21.56</v>
          </cell>
        </row>
        <row r="1206">
          <cell r="A1206" t="str">
            <v>P967</v>
          </cell>
          <cell r="B1206" t="str">
            <v>B</v>
          </cell>
          <cell r="C1206">
            <v>8.59</v>
          </cell>
        </row>
        <row r="1207">
          <cell r="A1207" t="str">
            <v>P968</v>
          </cell>
          <cell r="B1207" t="str">
            <v>D</v>
          </cell>
          <cell r="C1207">
            <v>6.71</v>
          </cell>
        </row>
        <row r="1208">
          <cell r="A1208" t="str">
            <v>P969</v>
          </cell>
          <cell r="B1208" t="str">
            <v>D</v>
          </cell>
          <cell r="C1208">
            <v>24.96</v>
          </cell>
        </row>
        <row r="1209">
          <cell r="A1209" t="str">
            <v>AF970</v>
          </cell>
          <cell r="B1209" t="str">
            <v>D</v>
          </cell>
          <cell r="C1209">
            <v>13.19</v>
          </cell>
        </row>
        <row r="1210">
          <cell r="A1210" t="str">
            <v>LP970-5</v>
          </cell>
          <cell r="B1210" t="str">
            <v>D</v>
          </cell>
          <cell r="C1210">
            <v>45.5</v>
          </cell>
        </row>
        <row r="1211">
          <cell r="A1211" t="str">
            <v>LP970-10</v>
          </cell>
          <cell r="B1211" t="str">
            <v>D</v>
          </cell>
          <cell r="C1211">
            <v>33.28</v>
          </cell>
        </row>
        <row r="1212">
          <cell r="A1212" t="str">
            <v>LP970-25</v>
          </cell>
          <cell r="B1212" t="str">
            <v>D</v>
          </cell>
          <cell r="C1212">
            <v>39.85</v>
          </cell>
        </row>
        <row r="1213">
          <cell r="A1213" t="str">
            <v>AF971</v>
          </cell>
          <cell r="B1213" t="str">
            <v>D</v>
          </cell>
          <cell r="C1213">
            <v>10.06</v>
          </cell>
        </row>
        <row r="1214">
          <cell r="A1214" t="str">
            <v>P972</v>
          </cell>
          <cell r="B1214" t="str">
            <v>C</v>
          </cell>
          <cell r="C1214">
            <v>5.91</v>
          </cell>
        </row>
        <row r="1215">
          <cell r="A1215" t="str">
            <v>P973</v>
          </cell>
          <cell r="B1215" t="str">
            <v>D</v>
          </cell>
          <cell r="C1215">
            <v>32.1</v>
          </cell>
        </row>
        <row r="1216">
          <cell r="A1216" t="str">
            <v>AF974</v>
          </cell>
          <cell r="B1216" t="str">
            <v>A</v>
          </cell>
          <cell r="C1216">
            <v>10.3</v>
          </cell>
        </row>
        <row r="1217">
          <cell r="A1217" t="str">
            <v>P975</v>
          </cell>
          <cell r="B1217" t="str">
            <v>D</v>
          </cell>
          <cell r="C1217">
            <v>17.559999999999999</v>
          </cell>
        </row>
        <row r="1218">
          <cell r="A1218" t="str">
            <v>G977</v>
          </cell>
          <cell r="B1218" t="str">
            <v>D</v>
          </cell>
          <cell r="C1218">
            <v>35.909999999999997</v>
          </cell>
        </row>
        <row r="1219">
          <cell r="A1219" t="str">
            <v>P978</v>
          </cell>
          <cell r="B1219" t="str">
            <v>D</v>
          </cell>
          <cell r="C1219">
            <v>17.45</v>
          </cell>
        </row>
        <row r="1220">
          <cell r="A1220" t="str">
            <v>P979</v>
          </cell>
          <cell r="B1220" t="str">
            <v>C</v>
          </cell>
          <cell r="C1220">
            <v>7.33</v>
          </cell>
        </row>
        <row r="1221">
          <cell r="A1221" t="str">
            <v>P980</v>
          </cell>
          <cell r="B1221" t="str">
            <v>B</v>
          </cell>
          <cell r="C1221">
            <v>6.77</v>
          </cell>
        </row>
        <row r="1222">
          <cell r="A1222" t="str">
            <v>P981</v>
          </cell>
          <cell r="B1222" t="str">
            <v>C</v>
          </cell>
          <cell r="C1222">
            <v>13.11</v>
          </cell>
        </row>
        <row r="1223">
          <cell r="A1223" t="str">
            <v>P982</v>
          </cell>
          <cell r="B1223" t="str">
            <v>D</v>
          </cell>
          <cell r="C1223">
            <v>11.02</v>
          </cell>
        </row>
        <row r="1224">
          <cell r="A1224" t="str">
            <v>P983</v>
          </cell>
          <cell r="B1224" t="str">
            <v>D</v>
          </cell>
          <cell r="C1224">
            <v>19.87</v>
          </cell>
        </row>
        <row r="1225">
          <cell r="A1225" t="str">
            <v>P985</v>
          </cell>
          <cell r="B1225" t="str">
            <v>D</v>
          </cell>
          <cell r="C1225">
            <v>14.61</v>
          </cell>
        </row>
        <row r="1226">
          <cell r="A1226" t="str">
            <v>P986</v>
          </cell>
          <cell r="B1226" t="str">
            <v>D</v>
          </cell>
          <cell r="C1226">
            <v>37.35</v>
          </cell>
        </row>
        <row r="1227">
          <cell r="A1227" t="str">
            <v>P987</v>
          </cell>
          <cell r="B1227" t="str">
            <v>N</v>
          </cell>
          <cell r="C1227">
            <v>30.21</v>
          </cell>
        </row>
        <row r="1228">
          <cell r="A1228" t="str">
            <v>P988</v>
          </cell>
          <cell r="B1228" t="str">
            <v>N</v>
          </cell>
          <cell r="C1228">
            <v>30.27</v>
          </cell>
        </row>
        <row r="1229">
          <cell r="A1229" t="str">
            <v>P989</v>
          </cell>
          <cell r="B1229" t="str">
            <v>C</v>
          </cell>
          <cell r="C1229">
            <v>9.77</v>
          </cell>
        </row>
        <row r="1230">
          <cell r="A1230" t="str">
            <v>P990</v>
          </cell>
          <cell r="B1230" t="str">
            <v>B</v>
          </cell>
          <cell r="C1230">
            <v>9.73</v>
          </cell>
        </row>
        <row r="1231">
          <cell r="A1231" t="str">
            <v>G991</v>
          </cell>
          <cell r="B1231" t="str">
            <v>C</v>
          </cell>
          <cell r="C1231">
            <v>15.01</v>
          </cell>
        </row>
        <row r="1232">
          <cell r="A1232" t="str">
            <v>P993</v>
          </cell>
          <cell r="B1232" t="str">
            <v>D</v>
          </cell>
          <cell r="C1232">
            <v>22.25</v>
          </cell>
        </row>
        <row r="1233">
          <cell r="A1233" t="str">
            <v>P995</v>
          </cell>
          <cell r="B1233" t="str">
            <v>N</v>
          </cell>
          <cell r="C1233">
            <v>14.66</v>
          </cell>
        </row>
        <row r="1234">
          <cell r="A1234" t="str">
            <v>P996</v>
          </cell>
          <cell r="B1234" t="str">
            <v>N</v>
          </cell>
          <cell r="C1234">
            <v>8.2799999999999994</v>
          </cell>
        </row>
        <row r="1235">
          <cell r="A1235" t="str">
            <v>P997</v>
          </cell>
          <cell r="B1235" t="str">
            <v>N</v>
          </cell>
          <cell r="C1235">
            <v>31.57</v>
          </cell>
        </row>
        <row r="1236">
          <cell r="A1236" t="str">
            <v>P998</v>
          </cell>
          <cell r="B1236" t="str">
            <v>N</v>
          </cell>
          <cell r="C1236">
            <v>13.34</v>
          </cell>
        </row>
        <row r="1237">
          <cell r="A1237" t="str">
            <v>FP1000F</v>
          </cell>
          <cell r="B1237" t="str">
            <v>D</v>
          </cell>
          <cell r="C1237">
            <v>35.630000000000003</v>
          </cell>
        </row>
        <row r="1238">
          <cell r="A1238" t="str">
            <v>LFF1000</v>
          </cell>
          <cell r="B1238" t="str">
            <v>A</v>
          </cell>
          <cell r="C1238">
            <v>16.87</v>
          </cell>
        </row>
        <row r="1239">
          <cell r="A1239" t="str">
            <v>LFF1001</v>
          </cell>
          <cell r="B1239" t="str">
            <v>B</v>
          </cell>
          <cell r="C1239">
            <v>19.43</v>
          </cell>
        </row>
        <row r="1240">
          <cell r="A1240" t="str">
            <v>LFF1003</v>
          </cell>
          <cell r="B1240" t="str">
            <v>B</v>
          </cell>
          <cell r="C1240">
            <v>41.19</v>
          </cell>
        </row>
        <row r="1241">
          <cell r="A1241" t="str">
            <v>LAF1004</v>
          </cell>
          <cell r="B1241" t="str">
            <v>D</v>
          </cell>
          <cell r="C1241">
            <v>45.88</v>
          </cell>
        </row>
        <row r="1242">
          <cell r="A1242" t="str">
            <v>LFF1005</v>
          </cell>
          <cell r="B1242" t="str">
            <v>D</v>
          </cell>
          <cell r="C1242">
            <v>20.25</v>
          </cell>
        </row>
        <row r="1243">
          <cell r="A1243" t="str">
            <v>LFF1006</v>
          </cell>
          <cell r="B1243" t="str">
            <v>D</v>
          </cell>
          <cell r="C1243">
            <v>23.15</v>
          </cell>
        </row>
        <row r="1244">
          <cell r="A1244" t="str">
            <v>LFF1007</v>
          </cell>
          <cell r="B1244" t="str">
            <v>B</v>
          </cell>
          <cell r="C1244">
            <v>47.31</v>
          </cell>
        </row>
        <row r="1245">
          <cell r="A1245" t="str">
            <v>P1009</v>
          </cell>
          <cell r="B1245" t="str">
            <v>A</v>
          </cell>
          <cell r="C1245">
            <v>6.08</v>
          </cell>
        </row>
        <row r="1246">
          <cell r="A1246" t="str">
            <v>G1010</v>
          </cell>
          <cell r="B1246" t="str">
            <v>C</v>
          </cell>
          <cell r="C1246">
            <v>11.59</v>
          </cell>
        </row>
        <row r="1247">
          <cell r="A1247" t="str">
            <v>L1011F</v>
          </cell>
          <cell r="B1247" t="str">
            <v>D</v>
          </cell>
          <cell r="C1247">
            <v>34.31</v>
          </cell>
        </row>
        <row r="1248">
          <cell r="A1248" t="str">
            <v>LAF1012</v>
          </cell>
          <cell r="B1248" t="str">
            <v>D</v>
          </cell>
          <cell r="C1248">
            <v>50.99</v>
          </cell>
        </row>
        <row r="1249">
          <cell r="A1249" t="str">
            <v>LAF1012HD</v>
          </cell>
          <cell r="B1249" t="str">
            <v>D</v>
          </cell>
          <cell r="C1249">
            <v>86.43</v>
          </cell>
        </row>
        <row r="1250">
          <cell r="A1250" t="str">
            <v>L1020F</v>
          </cell>
          <cell r="B1250" t="str">
            <v>N</v>
          </cell>
          <cell r="C1250">
            <v>31.79</v>
          </cell>
        </row>
        <row r="1251">
          <cell r="A1251" t="str">
            <v>LFF1021</v>
          </cell>
          <cell r="B1251" t="str">
            <v>C</v>
          </cell>
          <cell r="C1251">
            <v>61.75</v>
          </cell>
        </row>
        <row r="1252">
          <cell r="A1252" t="str">
            <v>LFF1022</v>
          </cell>
          <cell r="B1252" t="str">
            <v>B</v>
          </cell>
          <cell r="C1252">
            <v>28.51</v>
          </cell>
        </row>
        <row r="1253">
          <cell r="A1253" t="str">
            <v>AF1031</v>
          </cell>
          <cell r="B1253" t="str">
            <v>C</v>
          </cell>
          <cell r="C1253">
            <v>8.7799999999999994</v>
          </cell>
        </row>
        <row r="1254">
          <cell r="A1254" t="str">
            <v>G1033</v>
          </cell>
          <cell r="B1254" t="str">
            <v>D</v>
          </cell>
          <cell r="C1254">
            <v>16.88</v>
          </cell>
        </row>
        <row r="1255">
          <cell r="A1255" t="str">
            <v>G1036</v>
          </cell>
          <cell r="B1255" t="str">
            <v>D</v>
          </cell>
          <cell r="C1255">
            <v>15.9</v>
          </cell>
        </row>
        <row r="1256">
          <cell r="A1256" t="str">
            <v>LAF1038</v>
          </cell>
          <cell r="B1256" t="str">
            <v>D</v>
          </cell>
          <cell r="C1256">
            <v>38.22</v>
          </cell>
        </row>
        <row r="1257">
          <cell r="A1257" t="str">
            <v>G1039</v>
          </cell>
          <cell r="B1257" t="str">
            <v>D</v>
          </cell>
          <cell r="C1257">
            <v>17.32</v>
          </cell>
        </row>
        <row r="1258">
          <cell r="A1258" t="str">
            <v>LAF1040</v>
          </cell>
          <cell r="B1258" t="str">
            <v>D</v>
          </cell>
          <cell r="C1258">
            <v>97.34</v>
          </cell>
        </row>
        <row r="1259">
          <cell r="A1259">
            <v>1041</v>
          </cell>
          <cell r="B1259" t="str">
            <v>D</v>
          </cell>
          <cell r="C1259">
            <v>35.97</v>
          </cell>
        </row>
        <row r="1260">
          <cell r="A1260" t="str">
            <v>AF1042</v>
          </cell>
          <cell r="B1260" t="str">
            <v>D</v>
          </cell>
          <cell r="C1260">
            <v>13.47</v>
          </cell>
        </row>
        <row r="1261">
          <cell r="A1261" t="str">
            <v>AF1043</v>
          </cell>
          <cell r="B1261" t="str">
            <v>D</v>
          </cell>
          <cell r="C1261">
            <v>9.31</v>
          </cell>
        </row>
        <row r="1262">
          <cell r="A1262" t="str">
            <v>AF1046</v>
          </cell>
          <cell r="B1262" t="str">
            <v>D</v>
          </cell>
          <cell r="C1262">
            <v>10.220000000000001</v>
          </cell>
        </row>
        <row r="1263">
          <cell r="A1263" t="str">
            <v>AF1048</v>
          </cell>
          <cell r="B1263" t="str">
            <v>D</v>
          </cell>
          <cell r="C1263">
            <v>10.94</v>
          </cell>
        </row>
        <row r="1264">
          <cell r="A1264" t="str">
            <v>AF1054</v>
          </cell>
          <cell r="B1264" t="str">
            <v>D</v>
          </cell>
          <cell r="C1264">
            <v>38.51</v>
          </cell>
        </row>
        <row r="1265">
          <cell r="A1265" t="str">
            <v>G1055</v>
          </cell>
          <cell r="B1265" t="str">
            <v>C</v>
          </cell>
          <cell r="C1265">
            <v>36.57</v>
          </cell>
        </row>
        <row r="1266">
          <cell r="A1266" t="str">
            <v>G1056</v>
          </cell>
          <cell r="B1266" t="str">
            <v>D</v>
          </cell>
          <cell r="C1266">
            <v>50.14</v>
          </cell>
        </row>
        <row r="1267">
          <cell r="A1267" t="str">
            <v>G1057</v>
          </cell>
          <cell r="B1267" t="str">
            <v>D</v>
          </cell>
          <cell r="C1267">
            <v>47.08</v>
          </cell>
        </row>
        <row r="1268">
          <cell r="A1268" t="str">
            <v>AF1058</v>
          </cell>
          <cell r="B1268" t="str">
            <v>D</v>
          </cell>
          <cell r="C1268">
            <v>9.99</v>
          </cell>
        </row>
        <row r="1269">
          <cell r="A1269" t="str">
            <v>G1059</v>
          </cell>
          <cell r="B1269" t="str">
            <v>D</v>
          </cell>
          <cell r="C1269">
            <v>18.14</v>
          </cell>
        </row>
        <row r="1270">
          <cell r="A1270" t="str">
            <v>G1060</v>
          </cell>
          <cell r="B1270" t="str">
            <v>D</v>
          </cell>
          <cell r="C1270">
            <v>16.46</v>
          </cell>
        </row>
        <row r="1271">
          <cell r="A1271" t="str">
            <v>AF1061</v>
          </cell>
          <cell r="B1271" t="str">
            <v>D</v>
          </cell>
          <cell r="C1271">
            <v>10.61</v>
          </cell>
        </row>
        <row r="1272">
          <cell r="A1272" t="str">
            <v>G1062</v>
          </cell>
          <cell r="B1272" t="str">
            <v>D</v>
          </cell>
          <cell r="C1272">
            <v>15.84</v>
          </cell>
        </row>
        <row r="1273">
          <cell r="A1273" t="str">
            <v>G1063</v>
          </cell>
          <cell r="B1273" t="str">
            <v>C</v>
          </cell>
          <cell r="C1273">
            <v>23.88</v>
          </cell>
        </row>
        <row r="1274">
          <cell r="A1274" t="str">
            <v>AF1064</v>
          </cell>
          <cell r="B1274" t="str">
            <v>D</v>
          </cell>
          <cell r="C1274">
            <v>13.09</v>
          </cell>
        </row>
        <row r="1275">
          <cell r="A1275" t="str">
            <v>LFF1065</v>
          </cell>
          <cell r="B1275" t="str">
            <v>B</v>
          </cell>
          <cell r="C1275">
            <v>54.51</v>
          </cell>
        </row>
        <row r="1276">
          <cell r="A1276" t="str">
            <v>AFB1068</v>
          </cell>
          <cell r="B1276" t="str">
            <v>D</v>
          </cell>
          <cell r="C1276">
            <v>10.220000000000001</v>
          </cell>
        </row>
        <row r="1277">
          <cell r="A1277" t="str">
            <v>P1072</v>
          </cell>
          <cell r="B1277" t="str">
            <v>D</v>
          </cell>
          <cell r="C1277">
            <v>7.02</v>
          </cell>
        </row>
        <row r="1278">
          <cell r="A1278" t="str">
            <v>LAF1075</v>
          </cell>
          <cell r="B1278" t="str">
            <v>D</v>
          </cell>
          <cell r="C1278">
            <v>129.54</v>
          </cell>
        </row>
        <row r="1279">
          <cell r="A1279" t="str">
            <v>AF1088</v>
          </cell>
          <cell r="B1279" t="str">
            <v>D</v>
          </cell>
          <cell r="C1279">
            <v>10.61</v>
          </cell>
        </row>
        <row r="1280">
          <cell r="A1280" t="str">
            <v>LAF1095</v>
          </cell>
          <cell r="B1280" t="str">
            <v>D</v>
          </cell>
          <cell r="C1280">
            <v>78.19</v>
          </cell>
        </row>
        <row r="1281">
          <cell r="A1281" t="str">
            <v>AF1096</v>
          </cell>
          <cell r="B1281" t="str">
            <v>A</v>
          </cell>
          <cell r="C1281">
            <v>15.75</v>
          </cell>
        </row>
        <row r="1282">
          <cell r="A1282" t="str">
            <v>AF1097</v>
          </cell>
          <cell r="B1282" t="str">
            <v>D</v>
          </cell>
          <cell r="C1282">
            <v>26.54</v>
          </cell>
        </row>
        <row r="1283">
          <cell r="A1283" t="str">
            <v>LFP1101F</v>
          </cell>
          <cell r="B1283" t="str">
            <v>C</v>
          </cell>
          <cell r="C1283">
            <v>6.14</v>
          </cell>
        </row>
        <row r="1284">
          <cell r="A1284" t="str">
            <v>AF1111</v>
          </cell>
          <cell r="B1284" t="str">
            <v>D</v>
          </cell>
          <cell r="C1284">
            <v>12.93</v>
          </cell>
        </row>
        <row r="1285">
          <cell r="A1285" t="str">
            <v>G1114</v>
          </cell>
          <cell r="B1285" t="str">
            <v>D</v>
          </cell>
          <cell r="C1285">
            <v>11.56</v>
          </cell>
        </row>
        <row r="1286">
          <cell r="A1286" t="str">
            <v>FP1127F</v>
          </cell>
          <cell r="B1286" t="str">
            <v>D</v>
          </cell>
          <cell r="C1286">
            <v>8.9</v>
          </cell>
        </row>
        <row r="1287">
          <cell r="A1287" t="str">
            <v>LAF1128</v>
          </cell>
          <cell r="B1287" t="str">
            <v>D</v>
          </cell>
          <cell r="C1287">
            <v>108.15</v>
          </cell>
        </row>
        <row r="1288">
          <cell r="A1288" t="str">
            <v>AF1129</v>
          </cell>
          <cell r="B1288" t="str">
            <v>D</v>
          </cell>
          <cell r="C1288">
            <v>14.77</v>
          </cell>
        </row>
        <row r="1289">
          <cell r="A1289" t="str">
            <v>LFF1129</v>
          </cell>
          <cell r="B1289" t="str">
            <v>C</v>
          </cell>
          <cell r="C1289">
            <v>27.05</v>
          </cell>
        </row>
        <row r="1290">
          <cell r="A1290" t="str">
            <v>P1130</v>
          </cell>
          <cell r="B1290" t="str">
            <v>B</v>
          </cell>
          <cell r="C1290">
            <v>16.899999999999999</v>
          </cell>
        </row>
        <row r="1291">
          <cell r="A1291" t="str">
            <v>LFF1131</v>
          </cell>
          <cell r="B1291" t="str">
            <v>D</v>
          </cell>
          <cell r="C1291">
            <v>22.45</v>
          </cell>
        </row>
        <row r="1292">
          <cell r="A1292" t="str">
            <v>L1133F</v>
          </cell>
          <cell r="B1292" t="str">
            <v>D</v>
          </cell>
          <cell r="C1292">
            <v>32.78</v>
          </cell>
        </row>
        <row r="1293">
          <cell r="A1293" t="str">
            <v>AF1135</v>
          </cell>
          <cell r="B1293" t="str">
            <v>D</v>
          </cell>
          <cell r="C1293">
            <v>10.39</v>
          </cell>
        </row>
        <row r="1294">
          <cell r="A1294">
            <v>1136</v>
          </cell>
          <cell r="B1294" t="str">
            <v>D</v>
          </cell>
          <cell r="C1294">
            <v>12.85</v>
          </cell>
        </row>
        <row r="1295">
          <cell r="A1295" t="str">
            <v>LAF1136</v>
          </cell>
          <cell r="B1295" t="str">
            <v>D</v>
          </cell>
          <cell r="C1295">
            <v>40.090000000000003</v>
          </cell>
        </row>
        <row r="1296">
          <cell r="A1296" t="str">
            <v>LAF1137</v>
          </cell>
          <cell r="B1296" t="str">
            <v>D</v>
          </cell>
          <cell r="C1296">
            <v>92.22</v>
          </cell>
        </row>
        <row r="1297">
          <cell r="A1297" t="str">
            <v>LP1138</v>
          </cell>
          <cell r="B1297" t="str">
            <v>N</v>
          </cell>
          <cell r="C1297">
            <v>23.9</v>
          </cell>
        </row>
        <row r="1298">
          <cell r="A1298">
            <v>1141</v>
          </cell>
          <cell r="B1298" t="str">
            <v>D</v>
          </cell>
          <cell r="C1298">
            <v>12.32</v>
          </cell>
        </row>
        <row r="1299">
          <cell r="A1299">
            <v>1142</v>
          </cell>
          <cell r="B1299" t="str">
            <v>N</v>
          </cell>
          <cell r="C1299">
            <v>6.13</v>
          </cell>
        </row>
        <row r="1300">
          <cell r="A1300">
            <v>1143</v>
          </cell>
          <cell r="B1300" t="str">
            <v>N</v>
          </cell>
          <cell r="C1300">
            <v>3.93</v>
          </cell>
        </row>
        <row r="1301">
          <cell r="A1301" t="str">
            <v>LH1145</v>
          </cell>
          <cell r="B1301" t="str">
            <v>C</v>
          </cell>
          <cell r="C1301">
            <v>46.85</v>
          </cell>
        </row>
        <row r="1302">
          <cell r="A1302" t="str">
            <v>LAF1146</v>
          </cell>
          <cell r="B1302" t="str">
            <v>D</v>
          </cell>
          <cell r="C1302">
            <v>73.19</v>
          </cell>
        </row>
        <row r="1303">
          <cell r="A1303">
            <v>1147</v>
          </cell>
          <cell r="B1303" t="str">
            <v>N</v>
          </cell>
          <cell r="C1303">
            <v>13.53</v>
          </cell>
        </row>
        <row r="1304">
          <cell r="A1304" t="str">
            <v>L1148F</v>
          </cell>
          <cell r="B1304" t="str">
            <v>N</v>
          </cell>
          <cell r="C1304">
            <v>21.37</v>
          </cell>
        </row>
        <row r="1305">
          <cell r="A1305" t="str">
            <v>L1149F</v>
          </cell>
          <cell r="B1305" t="str">
            <v>N</v>
          </cell>
          <cell r="C1305">
            <v>12.85</v>
          </cell>
        </row>
        <row r="1306">
          <cell r="A1306">
            <v>1150</v>
          </cell>
          <cell r="B1306" t="str">
            <v>N</v>
          </cell>
          <cell r="C1306">
            <v>139.80000000000001</v>
          </cell>
        </row>
        <row r="1307">
          <cell r="A1307">
            <v>1151</v>
          </cell>
          <cell r="B1307" t="str">
            <v>N</v>
          </cell>
          <cell r="C1307">
            <v>255.05</v>
          </cell>
        </row>
        <row r="1308">
          <cell r="A1308">
            <v>1152</v>
          </cell>
          <cell r="B1308" t="str">
            <v>N</v>
          </cell>
          <cell r="C1308">
            <v>2.72</v>
          </cell>
        </row>
        <row r="1309">
          <cell r="A1309" t="str">
            <v>LAF1163</v>
          </cell>
          <cell r="B1309" t="str">
            <v>D</v>
          </cell>
          <cell r="C1309">
            <v>31.31</v>
          </cell>
        </row>
        <row r="1310">
          <cell r="A1310">
            <v>1166</v>
          </cell>
          <cell r="B1310" t="str">
            <v>D</v>
          </cell>
          <cell r="C1310">
            <v>13.98</v>
          </cell>
        </row>
        <row r="1311">
          <cell r="A1311" t="str">
            <v>L1168F</v>
          </cell>
          <cell r="B1311" t="str">
            <v>D</v>
          </cell>
          <cell r="C1311">
            <v>22.17</v>
          </cell>
        </row>
        <row r="1312">
          <cell r="A1312" t="str">
            <v>LFF1201</v>
          </cell>
          <cell r="B1312" t="str">
            <v>D</v>
          </cell>
          <cell r="C1312">
            <v>38.89</v>
          </cell>
        </row>
        <row r="1313">
          <cell r="A1313" t="str">
            <v>LAF1212</v>
          </cell>
          <cell r="B1313" t="str">
            <v>D</v>
          </cell>
          <cell r="C1313">
            <v>35.020000000000003</v>
          </cell>
        </row>
        <row r="1314">
          <cell r="A1314" t="str">
            <v>LAF1215HD</v>
          </cell>
          <cell r="B1314" t="str">
            <v>D</v>
          </cell>
          <cell r="C1314">
            <v>72.239999999999995</v>
          </cell>
        </row>
        <row r="1315">
          <cell r="A1315" t="str">
            <v>PH1218</v>
          </cell>
          <cell r="B1315" t="str">
            <v>A</v>
          </cell>
          <cell r="C1315">
            <v>6.13</v>
          </cell>
        </row>
        <row r="1316">
          <cell r="A1316" t="str">
            <v>PH1218M</v>
          </cell>
          <cell r="B1316" t="str">
            <v>N</v>
          </cell>
          <cell r="C1316">
            <v>8.02</v>
          </cell>
        </row>
        <row r="1317">
          <cell r="A1317" t="str">
            <v>PH1218R</v>
          </cell>
          <cell r="B1317" t="str">
            <v>D</v>
          </cell>
          <cell r="C1317">
            <v>16.48</v>
          </cell>
        </row>
        <row r="1318">
          <cell r="A1318" t="str">
            <v>LFF1223</v>
          </cell>
          <cell r="B1318" t="str">
            <v>B</v>
          </cell>
          <cell r="C1318">
            <v>30.33</v>
          </cell>
        </row>
        <row r="1319">
          <cell r="A1319" t="str">
            <v>LFF1224</v>
          </cell>
          <cell r="B1319" t="str">
            <v>B</v>
          </cell>
          <cell r="C1319">
            <v>21.33</v>
          </cell>
        </row>
        <row r="1320">
          <cell r="A1320" t="str">
            <v>LFF1225</v>
          </cell>
          <cell r="B1320" t="str">
            <v>D</v>
          </cell>
          <cell r="C1320">
            <v>23.61</v>
          </cell>
        </row>
        <row r="1321">
          <cell r="A1321" t="str">
            <v>LAF1226</v>
          </cell>
          <cell r="B1321" t="str">
            <v>D</v>
          </cell>
          <cell r="C1321">
            <v>32.67</v>
          </cell>
        </row>
        <row r="1322">
          <cell r="A1322" t="str">
            <v>LAF1227</v>
          </cell>
          <cell r="B1322" t="str">
            <v>D</v>
          </cell>
          <cell r="C1322">
            <v>158.51</v>
          </cell>
        </row>
        <row r="1323">
          <cell r="A1323" t="str">
            <v>AF1236</v>
          </cell>
          <cell r="B1323" t="str">
            <v>D</v>
          </cell>
          <cell r="C1323">
            <v>21.99</v>
          </cell>
        </row>
        <row r="1324">
          <cell r="A1324" t="str">
            <v>LAF1246</v>
          </cell>
          <cell r="B1324" t="str">
            <v>B</v>
          </cell>
          <cell r="C1324">
            <v>26.21</v>
          </cell>
        </row>
        <row r="1325">
          <cell r="A1325" t="str">
            <v>L1261F</v>
          </cell>
          <cell r="B1325" t="str">
            <v>C</v>
          </cell>
          <cell r="C1325">
            <v>17.77</v>
          </cell>
        </row>
        <row r="1326">
          <cell r="A1326" t="str">
            <v>LAF1265</v>
          </cell>
          <cell r="B1326" t="str">
            <v>D</v>
          </cell>
          <cell r="C1326">
            <v>92.36</v>
          </cell>
        </row>
        <row r="1327">
          <cell r="A1327" t="str">
            <v>LAF1275</v>
          </cell>
          <cell r="B1327" t="str">
            <v>A</v>
          </cell>
          <cell r="C1327">
            <v>19.38</v>
          </cell>
        </row>
        <row r="1328">
          <cell r="A1328" t="str">
            <v>AF1279</v>
          </cell>
          <cell r="B1328" t="str">
            <v>A</v>
          </cell>
          <cell r="C1328">
            <v>18.940000000000001</v>
          </cell>
        </row>
        <row r="1329">
          <cell r="A1329" t="str">
            <v>LFF1282</v>
          </cell>
          <cell r="B1329" t="str">
            <v>D</v>
          </cell>
          <cell r="C1329">
            <v>10.17</v>
          </cell>
        </row>
        <row r="1330">
          <cell r="A1330" t="str">
            <v>AF1300</v>
          </cell>
          <cell r="B1330" t="str">
            <v>D</v>
          </cell>
          <cell r="C1330">
            <v>21.42</v>
          </cell>
        </row>
        <row r="1331">
          <cell r="A1331" t="str">
            <v>AF1301</v>
          </cell>
          <cell r="B1331" t="str">
            <v>D</v>
          </cell>
          <cell r="C1331">
            <v>26.02</v>
          </cell>
        </row>
        <row r="1332">
          <cell r="A1332" t="str">
            <v>LAF1324</v>
          </cell>
          <cell r="B1332" t="str">
            <v>D</v>
          </cell>
          <cell r="C1332">
            <v>64.599999999999994</v>
          </cell>
        </row>
        <row r="1333">
          <cell r="A1333">
            <v>1327</v>
          </cell>
          <cell r="B1333" t="str">
            <v>D</v>
          </cell>
          <cell r="C1333">
            <v>5.65</v>
          </cell>
        </row>
        <row r="1334">
          <cell r="A1334">
            <v>1328</v>
          </cell>
          <cell r="B1334" t="str">
            <v>D</v>
          </cell>
          <cell r="C1334">
            <v>28.84</v>
          </cell>
        </row>
        <row r="1335">
          <cell r="A1335" t="str">
            <v>LAF1339</v>
          </cell>
          <cell r="B1335" t="str">
            <v>D</v>
          </cell>
          <cell r="C1335">
            <v>92.26</v>
          </cell>
        </row>
        <row r="1336">
          <cell r="A1336" t="str">
            <v>LAF1351</v>
          </cell>
          <cell r="B1336" t="str">
            <v>D</v>
          </cell>
          <cell r="C1336">
            <v>68.739999999999995</v>
          </cell>
        </row>
        <row r="1337">
          <cell r="A1337">
            <v>1371</v>
          </cell>
          <cell r="B1337" t="str">
            <v>D</v>
          </cell>
          <cell r="C1337">
            <v>43.49</v>
          </cell>
        </row>
        <row r="1338">
          <cell r="A1338" t="str">
            <v>LAF1394</v>
          </cell>
          <cell r="B1338" t="str">
            <v>D</v>
          </cell>
          <cell r="C1338">
            <v>38.380000000000003</v>
          </cell>
        </row>
        <row r="1339">
          <cell r="A1339" t="str">
            <v>LAF1416</v>
          </cell>
          <cell r="B1339" t="str">
            <v>D</v>
          </cell>
          <cell r="C1339">
            <v>92.15</v>
          </cell>
        </row>
        <row r="1340">
          <cell r="A1340" t="str">
            <v>AF1445</v>
          </cell>
          <cell r="B1340" t="str">
            <v>D</v>
          </cell>
          <cell r="C1340">
            <v>24.68</v>
          </cell>
        </row>
        <row r="1341">
          <cell r="A1341" t="str">
            <v>LAF1447</v>
          </cell>
          <cell r="B1341" t="str">
            <v>D</v>
          </cell>
          <cell r="C1341">
            <v>84.62</v>
          </cell>
        </row>
        <row r="1342">
          <cell r="A1342" t="str">
            <v>LAF1448</v>
          </cell>
          <cell r="B1342" t="str">
            <v>D</v>
          </cell>
          <cell r="C1342">
            <v>21.7</v>
          </cell>
        </row>
        <row r="1343">
          <cell r="A1343">
            <v>1449</v>
          </cell>
          <cell r="B1343" t="str">
            <v>D</v>
          </cell>
          <cell r="C1343">
            <v>247.45</v>
          </cell>
        </row>
        <row r="1344">
          <cell r="A1344" t="str">
            <v>LAF1451</v>
          </cell>
          <cell r="B1344" t="str">
            <v>D</v>
          </cell>
          <cell r="C1344">
            <v>99.85</v>
          </cell>
        </row>
        <row r="1345">
          <cell r="A1345" t="str">
            <v>LAF1453</v>
          </cell>
          <cell r="B1345" t="str">
            <v>D</v>
          </cell>
          <cell r="C1345">
            <v>40.119999999999997</v>
          </cell>
        </row>
        <row r="1346">
          <cell r="A1346" t="str">
            <v>LAF1455</v>
          </cell>
          <cell r="B1346" t="str">
            <v>D</v>
          </cell>
          <cell r="C1346">
            <v>44.14</v>
          </cell>
        </row>
        <row r="1347">
          <cell r="A1347" t="str">
            <v>LAF1456</v>
          </cell>
          <cell r="B1347" t="str">
            <v>D</v>
          </cell>
          <cell r="C1347">
            <v>73.73</v>
          </cell>
        </row>
        <row r="1348">
          <cell r="A1348" t="str">
            <v>LAF1457</v>
          </cell>
          <cell r="B1348" t="str">
            <v>D</v>
          </cell>
          <cell r="C1348">
            <v>143.25</v>
          </cell>
        </row>
        <row r="1349">
          <cell r="A1349" t="str">
            <v>LAF1458</v>
          </cell>
          <cell r="B1349" t="str">
            <v>D</v>
          </cell>
          <cell r="C1349">
            <v>33.39</v>
          </cell>
        </row>
        <row r="1350">
          <cell r="A1350" t="str">
            <v>LAF1460</v>
          </cell>
          <cell r="B1350" t="str">
            <v>D</v>
          </cell>
          <cell r="C1350">
            <v>47.55</v>
          </cell>
        </row>
        <row r="1351">
          <cell r="A1351" t="str">
            <v>LAF1461</v>
          </cell>
          <cell r="B1351" t="str">
            <v>D</v>
          </cell>
          <cell r="C1351">
            <v>45.33</v>
          </cell>
        </row>
        <row r="1352">
          <cell r="A1352" t="str">
            <v>LAF1463</v>
          </cell>
          <cell r="B1352" t="str">
            <v>D</v>
          </cell>
          <cell r="C1352">
            <v>24.58</v>
          </cell>
        </row>
        <row r="1353">
          <cell r="A1353" t="str">
            <v>LAF1464</v>
          </cell>
          <cell r="B1353" t="str">
            <v>D</v>
          </cell>
          <cell r="C1353">
            <v>30.81</v>
          </cell>
        </row>
        <row r="1354">
          <cell r="A1354" t="str">
            <v>LAF1465</v>
          </cell>
          <cell r="B1354" t="str">
            <v>D</v>
          </cell>
          <cell r="C1354">
            <v>84.57</v>
          </cell>
        </row>
        <row r="1355">
          <cell r="A1355" t="str">
            <v>LAF1465MXM</v>
          </cell>
          <cell r="B1355" t="str">
            <v>N</v>
          </cell>
          <cell r="C1355">
            <v>93.99</v>
          </cell>
        </row>
        <row r="1356">
          <cell r="A1356" t="str">
            <v>LAF1467</v>
          </cell>
          <cell r="B1356" t="str">
            <v>D</v>
          </cell>
          <cell r="C1356">
            <v>57.45</v>
          </cell>
        </row>
        <row r="1357">
          <cell r="A1357" t="str">
            <v>LAF1468</v>
          </cell>
          <cell r="B1357" t="str">
            <v>D</v>
          </cell>
          <cell r="C1357">
            <v>49.32</v>
          </cell>
        </row>
        <row r="1358">
          <cell r="A1358" t="str">
            <v>LAF1469</v>
          </cell>
          <cell r="B1358" t="str">
            <v>D</v>
          </cell>
          <cell r="C1358">
            <v>41.92</v>
          </cell>
        </row>
        <row r="1359">
          <cell r="A1359" t="str">
            <v>LAF1472</v>
          </cell>
          <cell r="B1359" t="str">
            <v>D</v>
          </cell>
          <cell r="C1359">
            <v>71.31</v>
          </cell>
        </row>
        <row r="1360">
          <cell r="A1360" t="str">
            <v>LAF1473</v>
          </cell>
          <cell r="B1360" t="str">
            <v>D</v>
          </cell>
          <cell r="C1360">
            <v>38.090000000000003</v>
          </cell>
        </row>
        <row r="1361">
          <cell r="A1361" t="str">
            <v>LAF1476</v>
          </cell>
          <cell r="B1361" t="str">
            <v>D</v>
          </cell>
          <cell r="C1361">
            <v>71.48</v>
          </cell>
        </row>
        <row r="1362">
          <cell r="A1362" t="str">
            <v>LAF1477</v>
          </cell>
          <cell r="B1362" t="str">
            <v>D</v>
          </cell>
          <cell r="C1362">
            <v>35.590000000000003</v>
          </cell>
        </row>
        <row r="1363">
          <cell r="A1363" t="str">
            <v>LAF1479</v>
          </cell>
          <cell r="B1363" t="str">
            <v>D</v>
          </cell>
          <cell r="C1363">
            <v>17.13</v>
          </cell>
        </row>
        <row r="1364">
          <cell r="A1364" t="str">
            <v>LAF1481</v>
          </cell>
          <cell r="B1364" t="str">
            <v>D</v>
          </cell>
          <cell r="C1364">
            <v>113.84</v>
          </cell>
        </row>
        <row r="1365">
          <cell r="A1365" t="str">
            <v>LAF1482</v>
          </cell>
          <cell r="B1365" t="str">
            <v>N</v>
          </cell>
          <cell r="C1365">
            <v>12.59</v>
          </cell>
        </row>
        <row r="1366">
          <cell r="A1366" t="str">
            <v>LAF1483</v>
          </cell>
          <cell r="B1366" t="str">
            <v>N</v>
          </cell>
          <cell r="C1366">
            <v>13.36</v>
          </cell>
        </row>
        <row r="1367">
          <cell r="A1367" t="str">
            <v>LAF1484</v>
          </cell>
          <cell r="B1367" t="str">
            <v>N</v>
          </cell>
          <cell r="C1367">
            <v>13.98</v>
          </cell>
        </row>
        <row r="1368">
          <cell r="A1368" t="str">
            <v>AF1518</v>
          </cell>
          <cell r="B1368" t="str">
            <v>B</v>
          </cell>
          <cell r="C1368">
            <v>13.7</v>
          </cell>
        </row>
        <row r="1369">
          <cell r="A1369" t="str">
            <v>AF1519</v>
          </cell>
          <cell r="B1369" t="str">
            <v>A</v>
          </cell>
          <cell r="C1369">
            <v>13.85</v>
          </cell>
        </row>
        <row r="1370">
          <cell r="A1370" t="str">
            <v>LAF1520</v>
          </cell>
          <cell r="B1370" t="str">
            <v>B</v>
          </cell>
          <cell r="C1370">
            <v>13.32</v>
          </cell>
        </row>
        <row r="1371">
          <cell r="A1371" t="str">
            <v>LAF1532</v>
          </cell>
          <cell r="B1371" t="str">
            <v>D</v>
          </cell>
          <cell r="C1371">
            <v>31.61</v>
          </cell>
        </row>
        <row r="1372">
          <cell r="A1372" t="str">
            <v>LAF1533</v>
          </cell>
          <cell r="B1372" t="str">
            <v>D</v>
          </cell>
          <cell r="C1372">
            <v>61.3</v>
          </cell>
        </row>
        <row r="1373">
          <cell r="A1373" t="str">
            <v>LFF1537</v>
          </cell>
          <cell r="B1373" t="str">
            <v>D</v>
          </cell>
          <cell r="C1373">
            <v>189.74</v>
          </cell>
        </row>
        <row r="1374">
          <cell r="A1374" t="str">
            <v>LAF1544</v>
          </cell>
          <cell r="B1374" t="str">
            <v>A</v>
          </cell>
          <cell r="C1374">
            <v>40.700000000000003</v>
          </cell>
        </row>
        <row r="1375">
          <cell r="A1375">
            <v>1586</v>
          </cell>
          <cell r="B1375" t="str">
            <v>B</v>
          </cell>
          <cell r="C1375">
            <v>2.77</v>
          </cell>
        </row>
        <row r="1376">
          <cell r="A1376">
            <v>1588</v>
          </cell>
          <cell r="B1376" t="str">
            <v>D</v>
          </cell>
          <cell r="C1376">
            <v>90.26</v>
          </cell>
        </row>
        <row r="1377">
          <cell r="A1377" t="str">
            <v>LAF1591</v>
          </cell>
          <cell r="B1377" t="str">
            <v>D</v>
          </cell>
          <cell r="C1377">
            <v>83.29</v>
          </cell>
        </row>
        <row r="1378">
          <cell r="A1378" t="str">
            <v>AFB1603</v>
          </cell>
          <cell r="B1378" t="str">
            <v>D</v>
          </cell>
          <cell r="C1378">
            <v>5.3</v>
          </cell>
        </row>
        <row r="1379">
          <cell r="A1379" t="str">
            <v>AF1606</v>
          </cell>
          <cell r="B1379" t="str">
            <v>D</v>
          </cell>
          <cell r="C1379">
            <v>39.479999999999997</v>
          </cell>
        </row>
        <row r="1380">
          <cell r="A1380" t="str">
            <v>AF1612</v>
          </cell>
          <cell r="B1380" t="str">
            <v>D</v>
          </cell>
          <cell r="C1380">
            <v>22.3</v>
          </cell>
        </row>
        <row r="1381">
          <cell r="A1381" t="str">
            <v>AF1613</v>
          </cell>
          <cell r="B1381" t="str">
            <v>D</v>
          </cell>
          <cell r="C1381">
            <v>14.86</v>
          </cell>
        </row>
        <row r="1382">
          <cell r="A1382" t="str">
            <v>AF1615</v>
          </cell>
          <cell r="B1382" t="str">
            <v>A</v>
          </cell>
          <cell r="C1382">
            <v>19.309999999999999</v>
          </cell>
        </row>
        <row r="1383">
          <cell r="A1383" t="str">
            <v>LAF1616</v>
          </cell>
          <cell r="B1383" t="str">
            <v>D</v>
          </cell>
          <cell r="C1383">
            <v>42.14</v>
          </cell>
        </row>
        <row r="1384">
          <cell r="A1384" t="str">
            <v>LAF1617</v>
          </cell>
          <cell r="B1384" t="str">
            <v>D</v>
          </cell>
          <cell r="C1384">
            <v>22.16</v>
          </cell>
        </row>
        <row r="1385">
          <cell r="A1385" t="str">
            <v>AF1618</v>
          </cell>
          <cell r="B1385" t="str">
            <v>D</v>
          </cell>
          <cell r="C1385">
            <v>13.93</v>
          </cell>
        </row>
        <row r="1386">
          <cell r="A1386" t="str">
            <v>AFB1621</v>
          </cell>
          <cell r="B1386" t="str">
            <v>D</v>
          </cell>
          <cell r="C1386">
            <v>3.89</v>
          </cell>
        </row>
        <row r="1387">
          <cell r="A1387" t="str">
            <v>AF1622</v>
          </cell>
          <cell r="B1387" t="str">
            <v>D</v>
          </cell>
          <cell r="C1387">
            <v>18.89</v>
          </cell>
        </row>
        <row r="1388">
          <cell r="A1388" t="str">
            <v>AF1623</v>
          </cell>
          <cell r="B1388" t="str">
            <v>D</v>
          </cell>
          <cell r="C1388">
            <v>40.729999999999997</v>
          </cell>
        </row>
        <row r="1389">
          <cell r="A1389" t="str">
            <v>AF1624</v>
          </cell>
          <cell r="B1389" t="str">
            <v>D</v>
          </cell>
          <cell r="C1389">
            <v>14.66</v>
          </cell>
        </row>
        <row r="1390">
          <cell r="A1390" t="str">
            <v>LAF1628</v>
          </cell>
          <cell r="B1390" t="str">
            <v>D</v>
          </cell>
          <cell r="C1390">
            <v>46.6</v>
          </cell>
        </row>
        <row r="1391">
          <cell r="A1391" t="str">
            <v>AF1630</v>
          </cell>
          <cell r="B1391" t="str">
            <v>D</v>
          </cell>
          <cell r="C1391">
            <v>9.65</v>
          </cell>
        </row>
        <row r="1392">
          <cell r="A1392" t="str">
            <v>LAF1640</v>
          </cell>
          <cell r="B1392" t="str">
            <v>D</v>
          </cell>
          <cell r="C1392">
            <v>12.74</v>
          </cell>
        </row>
        <row r="1393">
          <cell r="A1393" t="str">
            <v>AF1641</v>
          </cell>
          <cell r="B1393" t="str">
            <v>D</v>
          </cell>
          <cell r="C1393">
            <v>19.440000000000001</v>
          </cell>
        </row>
        <row r="1394">
          <cell r="A1394" t="str">
            <v>AF1643</v>
          </cell>
          <cell r="B1394" t="str">
            <v>D</v>
          </cell>
          <cell r="C1394">
            <v>23.4</v>
          </cell>
        </row>
        <row r="1395">
          <cell r="A1395" t="str">
            <v>L1645C</v>
          </cell>
          <cell r="B1395" t="str">
            <v>D</v>
          </cell>
          <cell r="C1395">
            <v>35.32</v>
          </cell>
        </row>
        <row r="1396">
          <cell r="A1396" t="str">
            <v>LAF1646</v>
          </cell>
          <cell r="B1396" t="str">
            <v>B</v>
          </cell>
          <cell r="C1396">
            <v>66.349999999999994</v>
          </cell>
        </row>
        <row r="1397">
          <cell r="A1397" t="str">
            <v>LFP1652</v>
          </cell>
          <cell r="B1397" t="str">
            <v>A</v>
          </cell>
          <cell r="C1397">
            <v>8.0299999999999994</v>
          </cell>
        </row>
        <row r="1398">
          <cell r="A1398" t="str">
            <v>LP1653</v>
          </cell>
          <cell r="B1398" t="str">
            <v>D</v>
          </cell>
          <cell r="C1398">
            <v>12.36</v>
          </cell>
        </row>
        <row r="1399">
          <cell r="A1399" t="str">
            <v>LP1655</v>
          </cell>
          <cell r="B1399" t="str">
            <v>D</v>
          </cell>
          <cell r="C1399">
            <v>13.79</v>
          </cell>
        </row>
        <row r="1400">
          <cell r="A1400" t="str">
            <v>L1656-0</v>
          </cell>
          <cell r="B1400" t="str">
            <v>D</v>
          </cell>
          <cell r="C1400">
            <v>21.88</v>
          </cell>
        </row>
        <row r="1401">
          <cell r="A1401" t="str">
            <v>AF1658</v>
          </cell>
          <cell r="B1401" t="str">
            <v>C</v>
          </cell>
          <cell r="C1401">
            <v>18.37</v>
          </cell>
        </row>
        <row r="1402">
          <cell r="A1402" t="str">
            <v>LP1670</v>
          </cell>
          <cell r="B1402" t="str">
            <v>D</v>
          </cell>
          <cell r="C1402">
            <v>38.29</v>
          </cell>
        </row>
        <row r="1403">
          <cell r="A1403" t="str">
            <v>LAF1671</v>
          </cell>
          <cell r="B1403" t="str">
            <v>D</v>
          </cell>
          <cell r="C1403">
            <v>37.79</v>
          </cell>
        </row>
        <row r="1404">
          <cell r="A1404" t="str">
            <v>LAF1672</v>
          </cell>
          <cell r="B1404" t="str">
            <v>D</v>
          </cell>
          <cell r="C1404">
            <v>15.79</v>
          </cell>
        </row>
        <row r="1405">
          <cell r="A1405" t="str">
            <v>LAF1675</v>
          </cell>
          <cell r="B1405" t="str">
            <v>D</v>
          </cell>
          <cell r="C1405">
            <v>28.59</v>
          </cell>
        </row>
        <row r="1406">
          <cell r="A1406" t="str">
            <v>AF1679</v>
          </cell>
          <cell r="B1406" t="str">
            <v>D</v>
          </cell>
          <cell r="C1406">
            <v>20.72</v>
          </cell>
        </row>
        <row r="1407">
          <cell r="A1407" t="str">
            <v>LAF1680</v>
          </cell>
          <cell r="B1407" t="str">
            <v>D</v>
          </cell>
          <cell r="C1407">
            <v>16.670000000000002</v>
          </cell>
        </row>
        <row r="1408">
          <cell r="A1408" t="str">
            <v>AF1682</v>
          </cell>
          <cell r="B1408" t="str">
            <v>D</v>
          </cell>
          <cell r="C1408">
            <v>24.12</v>
          </cell>
        </row>
        <row r="1409">
          <cell r="A1409" t="str">
            <v>AF1688</v>
          </cell>
          <cell r="B1409" t="str">
            <v>D</v>
          </cell>
          <cell r="C1409">
            <v>12.13</v>
          </cell>
        </row>
        <row r="1410">
          <cell r="A1410" t="str">
            <v>AF1695</v>
          </cell>
          <cell r="B1410" t="str">
            <v>D</v>
          </cell>
          <cell r="C1410">
            <v>12.09</v>
          </cell>
        </row>
        <row r="1411">
          <cell r="A1411" t="str">
            <v>AF1696</v>
          </cell>
          <cell r="B1411" t="str">
            <v>B</v>
          </cell>
          <cell r="C1411">
            <v>21.14</v>
          </cell>
        </row>
        <row r="1412">
          <cell r="A1412" t="str">
            <v>CAF1700</v>
          </cell>
          <cell r="B1412" t="str">
            <v>D</v>
          </cell>
          <cell r="C1412">
            <v>12.22</v>
          </cell>
        </row>
        <row r="1413">
          <cell r="A1413" t="str">
            <v>LFH1700</v>
          </cell>
          <cell r="B1413" t="str">
            <v>D</v>
          </cell>
          <cell r="C1413">
            <v>13.05</v>
          </cell>
        </row>
        <row r="1414">
          <cell r="A1414" t="str">
            <v>CAF1701</v>
          </cell>
          <cell r="B1414" t="str">
            <v>D</v>
          </cell>
          <cell r="C1414">
            <v>11.5</v>
          </cell>
        </row>
        <row r="1415">
          <cell r="A1415" t="str">
            <v>LFH1701</v>
          </cell>
          <cell r="B1415" t="str">
            <v>D</v>
          </cell>
          <cell r="C1415">
            <v>14.75</v>
          </cell>
        </row>
        <row r="1416">
          <cell r="A1416" t="str">
            <v>CAF1702</v>
          </cell>
          <cell r="B1416" t="str">
            <v>B</v>
          </cell>
          <cell r="C1416">
            <v>22.16</v>
          </cell>
        </row>
        <row r="1417">
          <cell r="A1417" t="str">
            <v>LFH1702</v>
          </cell>
          <cell r="B1417" t="str">
            <v>D</v>
          </cell>
          <cell r="C1417">
            <v>50.28</v>
          </cell>
        </row>
        <row r="1418">
          <cell r="A1418" t="str">
            <v>CAF1703</v>
          </cell>
          <cell r="B1418" t="str">
            <v>D</v>
          </cell>
          <cell r="C1418">
            <v>13.24</v>
          </cell>
        </row>
        <row r="1419">
          <cell r="A1419" t="str">
            <v>CAF1704</v>
          </cell>
          <cell r="B1419" t="str">
            <v>D</v>
          </cell>
          <cell r="C1419">
            <v>18.12</v>
          </cell>
        </row>
        <row r="1420">
          <cell r="A1420" t="str">
            <v>CAF1705</v>
          </cell>
          <cell r="B1420" t="str">
            <v>D</v>
          </cell>
          <cell r="C1420">
            <v>18.39</v>
          </cell>
        </row>
        <row r="1421">
          <cell r="A1421" t="str">
            <v>CAF1706</v>
          </cell>
          <cell r="B1421" t="str">
            <v>B</v>
          </cell>
          <cell r="C1421">
            <v>11.48</v>
          </cell>
        </row>
        <row r="1422">
          <cell r="A1422" t="str">
            <v>CAF1707</v>
          </cell>
          <cell r="B1422" t="str">
            <v>D</v>
          </cell>
          <cell r="C1422">
            <v>20.13</v>
          </cell>
        </row>
        <row r="1423">
          <cell r="A1423" t="str">
            <v>CAF1708</v>
          </cell>
          <cell r="B1423" t="str">
            <v>D</v>
          </cell>
          <cell r="C1423">
            <v>16.809999999999999</v>
          </cell>
        </row>
        <row r="1424">
          <cell r="A1424" t="str">
            <v>CAF1709</v>
          </cell>
          <cell r="B1424" t="str">
            <v>D</v>
          </cell>
          <cell r="C1424">
            <v>16.43</v>
          </cell>
        </row>
        <row r="1425">
          <cell r="A1425" t="str">
            <v>CAF1710</v>
          </cell>
          <cell r="B1425" t="str">
            <v>D</v>
          </cell>
          <cell r="C1425">
            <v>24.95</v>
          </cell>
        </row>
        <row r="1426">
          <cell r="A1426" t="str">
            <v>LAF1710</v>
          </cell>
          <cell r="B1426" t="str">
            <v>D</v>
          </cell>
          <cell r="C1426">
            <v>40.049999999999997</v>
          </cell>
        </row>
        <row r="1427">
          <cell r="A1427" t="str">
            <v>CAF1711</v>
          </cell>
          <cell r="B1427" t="str">
            <v>D</v>
          </cell>
          <cell r="C1427">
            <v>29.48</v>
          </cell>
        </row>
        <row r="1428">
          <cell r="A1428" t="str">
            <v>LAF1711</v>
          </cell>
          <cell r="B1428" t="str">
            <v>D</v>
          </cell>
          <cell r="C1428">
            <v>51.16</v>
          </cell>
        </row>
        <row r="1429">
          <cell r="A1429" t="str">
            <v>CAF1712</v>
          </cell>
          <cell r="B1429" t="str">
            <v>D</v>
          </cell>
          <cell r="C1429">
            <v>23.49</v>
          </cell>
        </row>
        <row r="1430">
          <cell r="A1430" t="str">
            <v>LAF1712</v>
          </cell>
          <cell r="B1430" t="str">
            <v>D</v>
          </cell>
          <cell r="C1430">
            <v>53.7</v>
          </cell>
        </row>
        <row r="1431">
          <cell r="A1431" t="str">
            <v>CAF1713</v>
          </cell>
          <cell r="B1431" t="str">
            <v>D</v>
          </cell>
          <cell r="C1431">
            <v>26.89</v>
          </cell>
        </row>
        <row r="1432">
          <cell r="A1432" t="str">
            <v>LAF1713</v>
          </cell>
          <cell r="B1432" t="str">
            <v>D</v>
          </cell>
          <cell r="C1432">
            <v>56.53</v>
          </cell>
        </row>
        <row r="1433">
          <cell r="A1433" t="str">
            <v>LAF1714</v>
          </cell>
          <cell r="B1433" t="str">
            <v>D</v>
          </cell>
          <cell r="C1433">
            <v>55.6</v>
          </cell>
        </row>
        <row r="1434">
          <cell r="A1434" t="str">
            <v>CAF1715</v>
          </cell>
          <cell r="B1434" t="str">
            <v>D</v>
          </cell>
          <cell r="C1434">
            <v>22.98</v>
          </cell>
        </row>
        <row r="1435">
          <cell r="A1435" t="str">
            <v>LAF1715</v>
          </cell>
          <cell r="B1435" t="str">
            <v>D</v>
          </cell>
          <cell r="C1435">
            <v>51.68</v>
          </cell>
        </row>
        <row r="1436">
          <cell r="A1436" t="str">
            <v>CAF1716</v>
          </cell>
          <cell r="B1436" t="str">
            <v>D</v>
          </cell>
          <cell r="C1436">
            <v>23.76</v>
          </cell>
        </row>
        <row r="1437">
          <cell r="A1437" t="str">
            <v>LAF1716</v>
          </cell>
          <cell r="B1437" t="str">
            <v>D</v>
          </cell>
          <cell r="C1437">
            <v>68.5</v>
          </cell>
        </row>
        <row r="1438">
          <cell r="A1438" t="str">
            <v>CAF1717</v>
          </cell>
          <cell r="B1438" t="str">
            <v>D</v>
          </cell>
          <cell r="C1438">
            <v>18.38</v>
          </cell>
        </row>
        <row r="1439">
          <cell r="A1439" t="str">
            <v>LAF1717</v>
          </cell>
          <cell r="B1439" t="str">
            <v>D</v>
          </cell>
          <cell r="C1439">
            <v>48.05</v>
          </cell>
        </row>
        <row r="1440">
          <cell r="A1440" t="str">
            <v>CAF1718</v>
          </cell>
          <cell r="B1440" t="str">
            <v>D</v>
          </cell>
          <cell r="C1440">
            <v>60.17</v>
          </cell>
        </row>
        <row r="1441">
          <cell r="A1441" t="str">
            <v>LAF1718</v>
          </cell>
          <cell r="B1441" t="str">
            <v>B</v>
          </cell>
          <cell r="C1441">
            <v>77.48</v>
          </cell>
        </row>
        <row r="1442">
          <cell r="A1442" t="str">
            <v>LAF1719</v>
          </cell>
          <cell r="B1442" t="str">
            <v>D</v>
          </cell>
          <cell r="C1442">
            <v>82.83</v>
          </cell>
        </row>
        <row r="1443">
          <cell r="A1443" t="str">
            <v>CAF1720</v>
          </cell>
          <cell r="B1443" t="str">
            <v>D</v>
          </cell>
          <cell r="C1443">
            <v>29.16</v>
          </cell>
        </row>
        <row r="1444">
          <cell r="A1444" t="str">
            <v>LAF1720</v>
          </cell>
          <cell r="B1444" t="str">
            <v>D</v>
          </cell>
          <cell r="C1444">
            <v>60.56</v>
          </cell>
        </row>
        <row r="1445">
          <cell r="A1445" t="str">
            <v>CAF1721</v>
          </cell>
          <cell r="B1445" t="str">
            <v>D</v>
          </cell>
          <cell r="C1445">
            <v>31.39</v>
          </cell>
        </row>
        <row r="1446">
          <cell r="A1446" t="str">
            <v>CAF1722</v>
          </cell>
          <cell r="B1446" t="str">
            <v>D</v>
          </cell>
          <cell r="C1446">
            <v>50.21</v>
          </cell>
        </row>
        <row r="1447">
          <cell r="A1447" t="str">
            <v>LAF1722</v>
          </cell>
          <cell r="B1447" t="str">
            <v>D</v>
          </cell>
          <cell r="C1447">
            <v>50.58</v>
          </cell>
        </row>
        <row r="1448">
          <cell r="A1448" t="str">
            <v>LAF1723</v>
          </cell>
          <cell r="B1448" t="str">
            <v>D</v>
          </cell>
          <cell r="C1448">
            <v>31.29</v>
          </cell>
        </row>
        <row r="1449">
          <cell r="A1449" t="str">
            <v>LAF1725</v>
          </cell>
          <cell r="B1449" t="str">
            <v>D</v>
          </cell>
          <cell r="C1449">
            <v>29.89</v>
          </cell>
        </row>
        <row r="1450">
          <cell r="A1450" t="str">
            <v>CAF1726</v>
          </cell>
          <cell r="B1450" t="str">
            <v>D</v>
          </cell>
          <cell r="C1450">
            <v>20.03</v>
          </cell>
        </row>
        <row r="1451">
          <cell r="A1451" t="str">
            <v>LAF1726</v>
          </cell>
          <cell r="B1451" t="str">
            <v>D</v>
          </cell>
          <cell r="C1451">
            <v>62.23</v>
          </cell>
        </row>
        <row r="1452">
          <cell r="A1452" t="str">
            <v>LAF1727</v>
          </cell>
          <cell r="B1452" t="str">
            <v>D</v>
          </cell>
          <cell r="C1452">
            <v>109.9</v>
          </cell>
        </row>
        <row r="1453">
          <cell r="A1453" t="str">
            <v>CAF1728</v>
          </cell>
          <cell r="B1453" t="str">
            <v>D</v>
          </cell>
          <cell r="C1453">
            <v>18.05</v>
          </cell>
        </row>
        <row r="1454">
          <cell r="A1454" t="str">
            <v>LAF1728</v>
          </cell>
          <cell r="B1454" t="str">
            <v>D</v>
          </cell>
          <cell r="C1454">
            <v>95.47</v>
          </cell>
        </row>
        <row r="1455">
          <cell r="A1455" t="str">
            <v>CAF1729</v>
          </cell>
          <cell r="B1455" t="str">
            <v>D</v>
          </cell>
          <cell r="C1455">
            <v>31.73</v>
          </cell>
        </row>
        <row r="1456">
          <cell r="A1456" t="str">
            <v>LAF1729</v>
          </cell>
          <cell r="B1456" t="str">
            <v>D</v>
          </cell>
          <cell r="C1456">
            <v>69.239999999999995</v>
          </cell>
        </row>
        <row r="1457">
          <cell r="A1457" t="str">
            <v>CAF1730</v>
          </cell>
          <cell r="B1457" t="str">
            <v>D</v>
          </cell>
          <cell r="C1457">
            <v>20.3</v>
          </cell>
        </row>
        <row r="1458">
          <cell r="A1458" t="str">
            <v>LAF1730</v>
          </cell>
          <cell r="B1458" t="str">
            <v>D</v>
          </cell>
          <cell r="C1458">
            <v>208.83</v>
          </cell>
        </row>
        <row r="1459">
          <cell r="A1459" t="str">
            <v>CAF1731</v>
          </cell>
          <cell r="B1459" t="str">
            <v>D</v>
          </cell>
          <cell r="C1459">
            <v>17.600000000000001</v>
          </cell>
        </row>
        <row r="1460">
          <cell r="A1460" t="str">
            <v>LAF1731</v>
          </cell>
          <cell r="B1460" t="str">
            <v>D</v>
          </cell>
          <cell r="C1460">
            <v>95.82</v>
          </cell>
        </row>
        <row r="1461">
          <cell r="A1461" t="str">
            <v>CAF1732</v>
          </cell>
          <cell r="B1461" t="str">
            <v>D</v>
          </cell>
          <cell r="C1461">
            <v>44.18</v>
          </cell>
        </row>
        <row r="1462">
          <cell r="A1462" t="str">
            <v>LAF1732</v>
          </cell>
          <cell r="B1462" t="str">
            <v>D</v>
          </cell>
          <cell r="C1462">
            <v>33.56</v>
          </cell>
        </row>
        <row r="1463">
          <cell r="A1463" t="str">
            <v>CAF1733</v>
          </cell>
          <cell r="B1463" t="str">
            <v>D</v>
          </cell>
          <cell r="C1463">
            <v>14.56</v>
          </cell>
        </row>
        <row r="1464">
          <cell r="A1464" t="str">
            <v>LAF1733</v>
          </cell>
          <cell r="B1464" t="str">
            <v>D</v>
          </cell>
          <cell r="C1464">
            <v>33.39</v>
          </cell>
        </row>
        <row r="1465">
          <cell r="A1465" t="str">
            <v>LAF1734</v>
          </cell>
          <cell r="B1465" t="str">
            <v>D</v>
          </cell>
          <cell r="C1465">
            <v>37.53</v>
          </cell>
        </row>
        <row r="1466">
          <cell r="A1466" t="str">
            <v>CAF1735</v>
          </cell>
          <cell r="B1466" t="str">
            <v>D</v>
          </cell>
          <cell r="C1466">
            <v>44.51</v>
          </cell>
        </row>
        <row r="1467">
          <cell r="A1467" t="str">
            <v>LAF1735</v>
          </cell>
          <cell r="B1467" t="str">
            <v>D</v>
          </cell>
          <cell r="C1467">
            <v>27.69</v>
          </cell>
        </row>
        <row r="1468">
          <cell r="A1468" t="str">
            <v>CAF1736</v>
          </cell>
          <cell r="B1468" t="str">
            <v>D</v>
          </cell>
          <cell r="C1468">
            <v>14.79</v>
          </cell>
        </row>
        <row r="1469">
          <cell r="A1469" t="str">
            <v>LAF1736</v>
          </cell>
          <cell r="B1469" t="str">
            <v>D</v>
          </cell>
          <cell r="C1469">
            <v>117.16</v>
          </cell>
        </row>
        <row r="1470">
          <cell r="A1470" t="str">
            <v>CAF1737</v>
          </cell>
          <cell r="B1470" t="str">
            <v>D</v>
          </cell>
          <cell r="C1470">
            <v>24.22</v>
          </cell>
        </row>
        <row r="1471">
          <cell r="A1471" t="str">
            <v>LAF1737</v>
          </cell>
          <cell r="B1471" t="str">
            <v>D</v>
          </cell>
          <cell r="C1471">
            <v>116.27</v>
          </cell>
        </row>
        <row r="1472">
          <cell r="A1472" t="str">
            <v>CAF1739</v>
          </cell>
          <cell r="B1472" t="str">
            <v>D</v>
          </cell>
          <cell r="C1472">
            <v>21.29</v>
          </cell>
        </row>
        <row r="1473">
          <cell r="A1473" t="str">
            <v>LAF1739</v>
          </cell>
          <cell r="B1473" t="str">
            <v>D</v>
          </cell>
          <cell r="C1473">
            <v>134.87</v>
          </cell>
        </row>
        <row r="1474">
          <cell r="A1474" t="str">
            <v>CAF1740</v>
          </cell>
          <cell r="B1474" t="str">
            <v>D</v>
          </cell>
          <cell r="C1474">
            <v>30.37</v>
          </cell>
        </row>
        <row r="1475">
          <cell r="A1475" t="str">
            <v>CAF1741</v>
          </cell>
          <cell r="B1475" t="str">
            <v>D</v>
          </cell>
          <cell r="C1475">
            <v>16.68</v>
          </cell>
        </row>
        <row r="1476">
          <cell r="A1476" t="str">
            <v>LAF1741</v>
          </cell>
          <cell r="B1476" t="str">
            <v>D</v>
          </cell>
          <cell r="C1476">
            <v>80.94</v>
          </cell>
        </row>
        <row r="1477">
          <cell r="A1477" t="str">
            <v>CAF1742</v>
          </cell>
          <cell r="B1477" t="str">
            <v>D</v>
          </cell>
          <cell r="C1477">
            <v>13.87</v>
          </cell>
        </row>
        <row r="1478">
          <cell r="A1478" t="str">
            <v>CAF1742K</v>
          </cell>
          <cell r="B1478" t="str">
            <v>D</v>
          </cell>
          <cell r="C1478">
            <v>24.84</v>
          </cell>
        </row>
        <row r="1479">
          <cell r="A1479" t="str">
            <v>LAF1742</v>
          </cell>
          <cell r="B1479" t="str">
            <v>D</v>
          </cell>
          <cell r="C1479">
            <v>46.31</v>
          </cell>
        </row>
        <row r="1480">
          <cell r="A1480" t="str">
            <v>CAF1743</v>
          </cell>
          <cell r="B1480" t="str">
            <v>B</v>
          </cell>
          <cell r="C1480">
            <v>13.04</v>
          </cell>
        </row>
        <row r="1481">
          <cell r="A1481" t="str">
            <v>LAF1743</v>
          </cell>
          <cell r="B1481" t="str">
            <v>D</v>
          </cell>
          <cell r="C1481">
            <v>56.55</v>
          </cell>
        </row>
        <row r="1482">
          <cell r="A1482">
            <v>1744</v>
          </cell>
          <cell r="B1482" t="str">
            <v>D</v>
          </cell>
          <cell r="C1482">
            <v>0.41</v>
          </cell>
        </row>
        <row r="1483">
          <cell r="A1483" t="str">
            <v>AF1744</v>
          </cell>
          <cell r="B1483" t="str">
            <v>B</v>
          </cell>
          <cell r="C1483">
            <v>8.99</v>
          </cell>
        </row>
        <row r="1484">
          <cell r="A1484" t="str">
            <v>CAF1744</v>
          </cell>
          <cell r="B1484" t="str">
            <v>D</v>
          </cell>
          <cell r="C1484">
            <v>56.06</v>
          </cell>
        </row>
        <row r="1485">
          <cell r="A1485" t="str">
            <v>CAF1745</v>
          </cell>
          <cell r="B1485" t="str">
            <v>D</v>
          </cell>
          <cell r="C1485">
            <v>27.25</v>
          </cell>
        </row>
        <row r="1486">
          <cell r="A1486" t="str">
            <v>LAF1745</v>
          </cell>
          <cell r="B1486" t="str">
            <v>B</v>
          </cell>
          <cell r="C1486">
            <v>60.04</v>
          </cell>
        </row>
        <row r="1487">
          <cell r="A1487" t="str">
            <v>CAF1746</v>
          </cell>
          <cell r="B1487" t="str">
            <v>D</v>
          </cell>
          <cell r="C1487">
            <v>14.76</v>
          </cell>
        </row>
        <row r="1488">
          <cell r="A1488" t="str">
            <v>LAF1746</v>
          </cell>
          <cell r="B1488" t="str">
            <v>D</v>
          </cell>
          <cell r="C1488">
            <v>87.14</v>
          </cell>
        </row>
        <row r="1489">
          <cell r="A1489" t="str">
            <v>CAF1747</v>
          </cell>
          <cell r="B1489" t="str">
            <v>D</v>
          </cell>
          <cell r="C1489">
            <v>23.83</v>
          </cell>
        </row>
        <row r="1490">
          <cell r="A1490" t="str">
            <v>LAF1747</v>
          </cell>
          <cell r="B1490" t="str">
            <v>D</v>
          </cell>
          <cell r="C1490">
            <v>68.5</v>
          </cell>
        </row>
        <row r="1491">
          <cell r="A1491" t="str">
            <v>LAF1748</v>
          </cell>
          <cell r="B1491" t="str">
            <v>D</v>
          </cell>
          <cell r="C1491">
            <v>63.92</v>
          </cell>
        </row>
        <row r="1492">
          <cell r="A1492" t="str">
            <v>CAF1749</v>
          </cell>
          <cell r="B1492" t="str">
            <v>D</v>
          </cell>
          <cell r="C1492">
            <v>17.079999999999998</v>
          </cell>
        </row>
        <row r="1493">
          <cell r="A1493" t="str">
            <v>LAF1749</v>
          </cell>
          <cell r="B1493" t="str">
            <v>D</v>
          </cell>
          <cell r="C1493">
            <v>92.24</v>
          </cell>
        </row>
        <row r="1494">
          <cell r="A1494" t="str">
            <v>CAF1750</v>
          </cell>
          <cell r="B1494" t="str">
            <v>D</v>
          </cell>
          <cell r="C1494">
            <v>34.549999999999997</v>
          </cell>
        </row>
        <row r="1495">
          <cell r="A1495" t="str">
            <v>LAF1750</v>
          </cell>
          <cell r="B1495" t="str">
            <v>D</v>
          </cell>
          <cell r="C1495">
            <v>77.3</v>
          </cell>
        </row>
        <row r="1496">
          <cell r="A1496" t="str">
            <v>CAF1751</v>
          </cell>
          <cell r="B1496" t="str">
            <v>B</v>
          </cell>
          <cell r="C1496">
            <v>18.27</v>
          </cell>
        </row>
        <row r="1497">
          <cell r="A1497" t="str">
            <v>LAF1751</v>
          </cell>
          <cell r="B1497" t="str">
            <v>B</v>
          </cell>
          <cell r="C1497">
            <v>20.87</v>
          </cell>
        </row>
        <row r="1498">
          <cell r="A1498" t="str">
            <v>LAF1752</v>
          </cell>
          <cell r="B1498" t="str">
            <v>D</v>
          </cell>
          <cell r="C1498">
            <v>116.34</v>
          </cell>
        </row>
        <row r="1499">
          <cell r="A1499" t="str">
            <v>CAF1753</v>
          </cell>
          <cell r="B1499" t="str">
            <v>D</v>
          </cell>
          <cell r="C1499">
            <v>20.07</v>
          </cell>
        </row>
        <row r="1500">
          <cell r="A1500" t="str">
            <v>LAF1753</v>
          </cell>
          <cell r="B1500" t="str">
            <v>D</v>
          </cell>
          <cell r="C1500">
            <v>122.69</v>
          </cell>
        </row>
        <row r="1501">
          <cell r="A1501" t="str">
            <v>AF1754</v>
          </cell>
          <cell r="B1501" t="str">
            <v>A</v>
          </cell>
          <cell r="C1501">
            <v>14.16</v>
          </cell>
        </row>
        <row r="1502">
          <cell r="A1502" t="str">
            <v>CAF1754</v>
          </cell>
          <cell r="B1502" t="str">
            <v>D</v>
          </cell>
          <cell r="C1502">
            <v>12.25</v>
          </cell>
        </row>
        <row r="1503">
          <cell r="A1503" t="str">
            <v>CAF1755</v>
          </cell>
          <cell r="B1503" t="str">
            <v>D</v>
          </cell>
          <cell r="C1503">
            <v>20.69</v>
          </cell>
        </row>
        <row r="1504">
          <cell r="A1504" t="str">
            <v>LAF1755</v>
          </cell>
          <cell r="B1504" t="str">
            <v>D</v>
          </cell>
          <cell r="C1504">
            <v>71.819999999999993</v>
          </cell>
        </row>
        <row r="1505">
          <cell r="A1505" t="str">
            <v>CAF1756</v>
          </cell>
          <cell r="B1505" t="str">
            <v>D</v>
          </cell>
          <cell r="C1505">
            <v>13.97</v>
          </cell>
        </row>
        <row r="1506">
          <cell r="A1506" t="str">
            <v>LAF1756</v>
          </cell>
          <cell r="B1506" t="str">
            <v>D</v>
          </cell>
          <cell r="C1506">
            <v>65.38</v>
          </cell>
        </row>
        <row r="1507">
          <cell r="A1507" t="str">
            <v>CAF1757</v>
          </cell>
          <cell r="B1507" t="str">
            <v>B</v>
          </cell>
          <cell r="C1507">
            <v>20.34</v>
          </cell>
        </row>
        <row r="1508">
          <cell r="A1508" t="str">
            <v>CAF1758</v>
          </cell>
          <cell r="B1508" t="str">
            <v>B</v>
          </cell>
          <cell r="C1508">
            <v>18.46</v>
          </cell>
        </row>
        <row r="1509">
          <cell r="A1509" t="str">
            <v>LAF1758</v>
          </cell>
          <cell r="B1509" t="str">
            <v>D</v>
          </cell>
          <cell r="C1509">
            <v>125.3</v>
          </cell>
        </row>
        <row r="1510">
          <cell r="A1510" t="str">
            <v>CAF1759</v>
          </cell>
          <cell r="B1510" t="str">
            <v>D</v>
          </cell>
          <cell r="C1510">
            <v>27.04</v>
          </cell>
        </row>
        <row r="1511">
          <cell r="A1511" t="str">
            <v>LAF1759</v>
          </cell>
          <cell r="B1511" t="str">
            <v>D</v>
          </cell>
          <cell r="C1511">
            <v>49.11</v>
          </cell>
        </row>
        <row r="1512">
          <cell r="A1512">
            <v>1760</v>
          </cell>
          <cell r="B1512" t="str">
            <v>D</v>
          </cell>
          <cell r="C1512">
            <v>13.36</v>
          </cell>
        </row>
        <row r="1513">
          <cell r="A1513">
            <v>1761</v>
          </cell>
          <cell r="B1513" t="str">
            <v>D</v>
          </cell>
          <cell r="C1513">
            <v>13.89</v>
          </cell>
        </row>
        <row r="1514">
          <cell r="A1514" t="str">
            <v>CAF1762</v>
          </cell>
          <cell r="B1514" t="str">
            <v>A</v>
          </cell>
          <cell r="C1514">
            <v>23.7</v>
          </cell>
        </row>
        <row r="1515">
          <cell r="A1515" t="str">
            <v>LAF1762</v>
          </cell>
          <cell r="B1515" t="str">
            <v>D</v>
          </cell>
          <cell r="C1515">
            <v>198.03</v>
          </cell>
        </row>
        <row r="1516">
          <cell r="A1516" t="str">
            <v>LAF1763</v>
          </cell>
          <cell r="B1516" t="str">
            <v>D</v>
          </cell>
          <cell r="C1516">
            <v>147.22</v>
          </cell>
        </row>
        <row r="1517">
          <cell r="A1517" t="str">
            <v>CAF1764</v>
          </cell>
          <cell r="B1517" t="str">
            <v>A</v>
          </cell>
          <cell r="C1517">
            <v>30.42</v>
          </cell>
        </row>
        <row r="1518">
          <cell r="A1518" t="str">
            <v>LAF1764</v>
          </cell>
          <cell r="B1518" t="str">
            <v>D</v>
          </cell>
          <cell r="C1518">
            <v>135.6</v>
          </cell>
        </row>
        <row r="1519">
          <cell r="A1519" t="str">
            <v>CAF1765</v>
          </cell>
          <cell r="B1519" t="str">
            <v>A</v>
          </cell>
          <cell r="C1519">
            <v>30.46</v>
          </cell>
        </row>
        <row r="1520">
          <cell r="A1520" t="str">
            <v>LAF1765</v>
          </cell>
          <cell r="B1520" t="str">
            <v>D</v>
          </cell>
          <cell r="C1520">
            <v>92.01</v>
          </cell>
        </row>
        <row r="1521">
          <cell r="A1521" t="str">
            <v>CAF1766</v>
          </cell>
          <cell r="B1521" t="str">
            <v>A</v>
          </cell>
          <cell r="C1521">
            <v>19.7</v>
          </cell>
        </row>
        <row r="1522">
          <cell r="A1522" t="str">
            <v>LAF1766</v>
          </cell>
          <cell r="B1522" t="str">
            <v>D</v>
          </cell>
          <cell r="C1522">
            <v>19.95</v>
          </cell>
        </row>
        <row r="1523">
          <cell r="A1523" t="str">
            <v>CAF1767</v>
          </cell>
          <cell r="B1523" t="str">
            <v>D</v>
          </cell>
          <cell r="C1523">
            <v>28.73</v>
          </cell>
        </row>
        <row r="1524">
          <cell r="A1524" t="str">
            <v>LAF1767</v>
          </cell>
          <cell r="B1524" t="str">
            <v>D</v>
          </cell>
          <cell r="C1524">
            <v>51.04</v>
          </cell>
        </row>
        <row r="1525">
          <cell r="A1525" t="str">
            <v>CAF1768</v>
          </cell>
          <cell r="B1525" t="str">
            <v>D</v>
          </cell>
          <cell r="C1525">
            <v>42.94</v>
          </cell>
        </row>
        <row r="1526">
          <cell r="A1526" t="str">
            <v>LAF1768</v>
          </cell>
          <cell r="B1526" t="str">
            <v>D</v>
          </cell>
          <cell r="C1526">
            <v>68.260000000000005</v>
          </cell>
        </row>
        <row r="1527">
          <cell r="A1527" t="str">
            <v>CAF1769</v>
          </cell>
          <cell r="B1527" t="str">
            <v>D</v>
          </cell>
          <cell r="C1527">
            <v>23.22</v>
          </cell>
        </row>
        <row r="1528">
          <cell r="A1528" t="str">
            <v>LAF1769</v>
          </cell>
          <cell r="B1528" t="str">
            <v>B</v>
          </cell>
          <cell r="C1528">
            <v>81.53</v>
          </cell>
        </row>
        <row r="1529">
          <cell r="A1529" t="str">
            <v>CAF1770</v>
          </cell>
          <cell r="B1529" t="str">
            <v>D</v>
          </cell>
          <cell r="C1529">
            <v>25.36</v>
          </cell>
        </row>
        <row r="1530">
          <cell r="A1530" t="str">
            <v>LAF1770</v>
          </cell>
          <cell r="B1530" t="str">
            <v>B</v>
          </cell>
          <cell r="C1530">
            <v>88.5</v>
          </cell>
        </row>
        <row r="1531">
          <cell r="A1531" t="str">
            <v>CAF1771</v>
          </cell>
          <cell r="B1531" t="str">
            <v>D</v>
          </cell>
          <cell r="C1531">
            <v>14.32</v>
          </cell>
        </row>
        <row r="1532">
          <cell r="A1532" t="str">
            <v>LAF1771</v>
          </cell>
          <cell r="B1532" t="str">
            <v>D</v>
          </cell>
          <cell r="C1532">
            <v>72.650000000000006</v>
          </cell>
        </row>
        <row r="1533">
          <cell r="A1533" t="str">
            <v>LAF1773</v>
          </cell>
          <cell r="B1533" t="str">
            <v>D</v>
          </cell>
          <cell r="C1533">
            <v>170.37</v>
          </cell>
        </row>
        <row r="1534">
          <cell r="A1534" t="str">
            <v>CAF1774</v>
          </cell>
          <cell r="B1534" t="str">
            <v>D</v>
          </cell>
          <cell r="C1534">
            <v>24.71</v>
          </cell>
        </row>
        <row r="1535">
          <cell r="A1535" t="str">
            <v>LAF1774</v>
          </cell>
          <cell r="B1535" t="str">
            <v>D</v>
          </cell>
          <cell r="C1535">
            <v>94.83</v>
          </cell>
        </row>
        <row r="1536">
          <cell r="A1536" t="str">
            <v>LAF1775</v>
          </cell>
          <cell r="B1536" t="str">
            <v>D</v>
          </cell>
          <cell r="C1536">
            <v>78.22</v>
          </cell>
        </row>
        <row r="1537">
          <cell r="A1537" t="str">
            <v>LAF1776</v>
          </cell>
          <cell r="B1537" t="str">
            <v>D</v>
          </cell>
          <cell r="C1537">
            <v>40.46</v>
          </cell>
        </row>
        <row r="1538">
          <cell r="A1538" t="str">
            <v>LAF1777</v>
          </cell>
          <cell r="B1538" t="str">
            <v>D</v>
          </cell>
          <cell r="C1538">
            <v>42.81</v>
          </cell>
        </row>
        <row r="1539">
          <cell r="A1539" t="str">
            <v>LAF1778</v>
          </cell>
          <cell r="B1539" t="str">
            <v>D</v>
          </cell>
          <cell r="C1539">
            <v>32.869999999999997</v>
          </cell>
        </row>
        <row r="1540">
          <cell r="A1540" t="str">
            <v>CAF1779</v>
          </cell>
          <cell r="B1540" t="str">
            <v>D</v>
          </cell>
          <cell r="C1540">
            <v>35.64</v>
          </cell>
        </row>
        <row r="1541">
          <cell r="A1541" t="str">
            <v>LAF1779</v>
          </cell>
          <cell r="B1541" t="str">
            <v>D</v>
          </cell>
          <cell r="C1541">
            <v>57.14</v>
          </cell>
        </row>
        <row r="1542">
          <cell r="A1542" t="str">
            <v>CAF1780</v>
          </cell>
          <cell r="B1542" t="str">
            <v>D</v>
          </cell>
          <cell r="C1542">
            <v>24.81</v>
          </cell>
        </row>
        <row r="1543">
          <cell r="A1543" t="str">
            <v>LAF1780</v>
          </cell>
          <cell r="B1543" t="str">
            <v>D</v>
          </cell>
          <cell r="C1543">
            <v>39.200000000000003</v>
          </cell>
        </row>
        <row r="1544">
          <cell r="A1544" t="str">
            <v>CAF1781</v>
          </cell>
          <cell r="B1544" t="str">
            <v>B</v>
          </cell>
          <cell r="C1544">
            <v>24.95</v>
          </cell>
        </row>
        <row r="1545">
          <cell r="A1545" t="str">
            <v>CAF1782</v>
          </cell>
          <cell r="B1545" t="str">
            <v>D</v>
          </cell>
          <cell r="C1545">
            <v>18.920000000000002</v>
          </cell>
        </row>
        <row r="1546">
          <cell r="A1546" t="str">
            <v>LAF1782</v>
          </cell>
          <cell r="B1546" t="str">
            <v>D</v>
          </cell>
          <cell r="C1546">
            <v>13.39</v>
          </cell>
        </row>
        <row r="1547">
          <cell r="A1547" t="str">
            <v>CAF1783</v>
          </cell>
          <cell r="B1547" t="str">
            <v>D</v>
          </cell>
          <cell r="C1547">
            <v>29</v>
          </cell>
        </row>
        <row r="1548">
          <cell r="A1548" t="str">
            <v>CAF1784</v>
          </cell>
          <cell r="B1548" t="str">
            <v>D</v>
          </cell>
          <cell r="C1548">
            <v>25.9</v>
          </cell>
        </row>
        <row r="1549">
          <cell r="A1549" t="str">
            <v>LAF1784</v>
          </cell>
          <cell r="B1549" t="str">
            <v>D</v>
          </cell>
          <cell r="C1549">
            <v>23.49</v>
          </cell>
        </row>
        <row r="1550">
          <cell r="A1550" t="str">
            <v>CAF1785</v>
          </cell>
          <cell r="B1550" t="str">
            <v>D</v>
          </cell>
          <cell r="C1550">
            <v>57.22</v>
          </cell>
        </row>
        <row r="1551">
          <cell r="A1551" t="str">
            <v>LAF1785</v>
          </cell>
          <cell r="B1551" t="str">
            <v>D</v>
          </cell>
          <cell r="C1551">
            <v>28.71</v>
          </cell>
        </row>
        <row r="1552">
          <cell r="A1552" t="str">
            <v>CAF1786</v>
          </cell>
          <cell r="B1552" t="str">
            <v>D</v>
          </cell>
          <cell r="C1552">
            <v>31.96</v>
          </cell>
        </row>
        <row r="1553">
          <cell r="A1553" t="str">
            <v>LAF1786</v>
          </cell>
          <cell r="B1553" t="str">
            <v>D</v>
          </cell>
          <cell r="C1553">
            <v>29.12</v>
          </cell>
        </row>
        <row r="1554">
          <cell r="A1554" t="str">
            <v>LAF1787</v>
          </cell>
          <cell r="B1554" t="str">
            <v>B</v>
          </cell>
          <cell r="C1554">
            <v>97.91</v>
          </cell>
        </row>
        <row r="1555">
          <cell r="A1555" t="str">
            <v>CAF1788</v>
          </cell>
          <cell r="B1555" t="str">
            <v>D</v>
          </cell>
          <cell r="C1555">
            <v>25.64</v>
          </cell>
        </row>
        <row r="1556">
          <cell r="A1556" t="str">
            <v>LAF1788</v>
          </cell>
          <cell r="B1556" t="str">
            <v>D</v>
          </cell>
          <cell r="C1556">
            <v>146.21</v>
          </cell>
        </row>
        <row r="1557">
          <cell r="A1557" t="str">
            <v>CAF1789</v>
          </cell>
          <cell r="B1557" t="str">
            <v>D</v>
          </cell>
          <cell r="C1557">
            <v>22.97</v>
          </cell>
        </row>
        <row r="1558">
          <cell r="A1558" t="str">
            <v>LAF1789</v>
          </cell>
          <cell r="B1558" t="str">
            <v>D</v>
          </cell>
          <cell r="C1558">
            <v>59.52</v>
          </cell>
        </row>
        <row r="1559">
          <cell r="A1559" t="str">
            <v>CAF1790</v>
          </cell>
          <cell r="B1559" t="str">
            <v>D</v>
          </cell>
          <cell r="C1559">
            <v>21.72</v>
          </cell>
        </row>
        <row r="1560">
          <cell r="A1560" t="str">
            <v>LAF1790</v>
          </cell>
          <cell r="B1560" t="str">
            <v>D</v>
          </cell>
          <cell r="C1560">
            <v>59.55</v>
          </cell>
        </row>
        <row r="1561">
          <cell r="A1561" t="str">
            <v>CAF1791</v>
          </cell>
          <cell r="B1561" t="str">
            <v>D</v>
          </cell>
          <cell r="C1561">
            <v>13.21</v>
          </cell>
        </row>
        <row r="1562">
          <cell r="A1562" t="str">
            <v>LAF1791</v>
          </cell>
          <cell r="B1562" t="str">
            <v>D</v>
          </cell>
          <cell r="C1562">
            <v>50.25</v>
          </cell>
        </row>
        <row r="1563">
          <cell r="A1563" t="str">
            <v>CAF1792</v>
          </cell>
          <cell r="B1563" t="str">
            <v>A</v>
          </cell>
          <cell r="C1563">
            <v>10.07</v>
          </cell>
        </row>
        <row r="1564">
          <cell r="A1564" t="str">
            <v>LAF1792</v>
          </cell>
          <cell r="B1564" t="str">
            <v>D</v>
          </cell>
          <cell r="C1564">
            <v>36.92</v>
          </cell>
        </row>
        <row r="1565">
          <cell r="A1565" t="str">
            <v>CAF1793</v>
          </cell>
          <cell r="B1565" t="str">
            <v>D</v>
          </cell>
          <cell r="C1565">
            <v>17.61</v>
          </cell>
        </row>
        <row r="1566">
          <cell r="A1566" t="str">
            <v>LAF1793</v>
          </cell>
          <cell r="B1566" t="str">
            <v>D</v>
          </cell>
          <cell r="C1566">
            <v>24.68</v>
          </cell>
        </row>
        <row r="1567">
          <cell r="A1567" t="str">
            <v>LAF1794</v>
          </cell>
          <cell r="B1567" t="str">
            <v>D</v>
          </cell>
          <cell r="C1567">
            <v>54.06</v>
          </cell>
        </row>
        <row r="1568">
          <cell r="A1568" t="str">
            <v>AF1795</v>
          </cell>
          <cell r="B1568" t="str">
            <v>D</v>
          </cell>
          <cell r="C1568">
            <v>12.12</v>
          </cell>
        </row>
        <row r="1569">
          <cell r="A1569" t="str">
            <v>CAF1795</v>
          </cell>
          <cell r="B1569" t="str">
            <v>D</v>
          </cell>
          <cell r="C1569">
            <v>33.25</v>
          </cell>
        </row>
        <row r="1570">
          <cell r="A1570" t="str">
            <v>CAF1796</v>
          </cell>
          <cell r="B1570" t="str">
            <v>D</v>
          </cell>
          <cell r="C1570">
            <v>30.93</v>
          </cell>
        </row>
        <row r="1571">
          <cell r="A1571" t="str">
            <v>LAF1796</v>
          </cell>
          <cell r="B1571" t="str">
            <v>D</v>
          </cell>
          <cell r="C1571">
            <v>54.8</v>
          </cell>
        </row>
        <row r="1572">
          <cell r="A1572" t="str">
            <v>CAF1797</v>
          </cell>
          <cell r="B1572" t="str">
            <v>B</v>
          </cell>
          <cell r="C1572">
            <v>16.12</v>
          </cell>
        </row>
        <row r="1573">
          <cell r="A1573" t="str">
            <v>LAF1797</v>
          </cell>
          <cell r="B1573" t="str">
            <v>D</v>
          </cell>
          <cell r="C1573">
            <v>34.590000000000003</v>
          </cell>
        </row>
        <row r="1574">
          <cell r="A1574" t="str">
            <v>CAF1798</v>
          </cell>
          <cell r="B1574" t="str">
            <v>D</v>
          </cell>
          <cell r="C1574">
            <v>28.06</v>
          </cell>
        </row>
        <row r="1575">
          <cell r="A1575" t="str">
            <v>LAF1799</v>
          </cell>
          <cell r="B1575" t="str">
            <v>D</v>
          </cell>
          <cell r="C1575">
            <v>138.79</v>
          </cell>
        </row>
        <row r="1576">
          <cell r="A1576" t="str">
            <v>CAF1800C</v>
          </cell>
          <cell r="B1576" t="str">
            <v>A</v>
          </cell>
          <cell r="C1576">
            <v>24.88</v>
          </cell>
        </row>
        <row r="1577">
          <cell r="A1577" t="str">
            <v>LAF1800</v>
          </cell>
          <cell r="B1577" t="str">
            <v>C</v>
          </cell>
          <cell r="C1577">
            <v>36.270000000000003</v>
          </cell>
        </row>
        <row r="1578">
          <cell r="A1578" t="str">
            <v>LAF1801</v>
          </cell>
          <cell r="B1578" t="str">
            <v>D</v>
          </cell>
          <cell r="C1578">
            <v>35.49</v>
          </cell>
        </row>
        <row r="1579">
          <cell r="A1579" t="str">
            <v>CAF1801P</v>
          </cell>
          <cell r="B1579" t="str">
            <v>D</v>
          </cell>
          <cell r="C1579">
            <v>26.24</v>
          </cell>
        </row>
        <row r="1580">
          <cell r="A1580" t="str">
            <v>CAF1802C</v>
          </cell>
          <cell r="B1580" t="str">
            <v>D</v>
          </cell>
          <cell r="C1580">
            <v>16.62</v>
          </cell>
        </row>
        <row r="1581">
          <cell r="A1581" t="str">
            <v>CAF1802P</v>
          </cell>
          <cell r="B1581" t="str">
            <v>D</v>
          </cell>
          <cell r="C1581">
            <v>12.78</v>
          </cell>
        </row>
        <row r="1582">
          <cell r="A1582" t="str">
            <v>LAF1802</v>
          </cell>
          <cell r="B1582" t="str">
            <v>D</v>
          </cell>
          <cell r="C1582">
            <v>97.34</v>
          </cell>
        </row>
        <row r="1583">
          <cell r="A1583" t="str">
            <v>CAF1803C</v>
          </cell>
          <cell r="B1583" t="str">
            <v>D</v>
          </cell>
          <cell r="C1583">
            <v>36.79</v>
          </cell>
        </row>
        <row r="1584">
          <cell r="A1584" t="str">
            <v>CAF1803P</v>
          </cell>
          <cell r="B1584" t="str">
            <v>D</v>
          </cell>
          <cell r="C1584">
            <v>31.87</v>
          </cell>
        </row>
        <row r="1585">
          <cell r="A1585" t="str">
            <v>LAF1803</v>
          </cell>
          <cell r="B1585" t="str">
            <v>D</v>
          </cell>
          <cell r="C1585">
            <v>118.48</v>
          </cell>
        </row>
        <row r="1586">
          <cell r="A1586" t="str">
            <v>CAF1804C</v>
          </cell>
          <cell r="B1586" t="str">
            <v>D</v>
          </cell>
          <cell r="C1586">
            <v>17.23</v>
          </cell>
        </row>
        <row r="1587">
          <cell r="A1587" t="str">
            <v>CAF1804P</v>
          </cell>
          <cell r="B1587" t="str">
            <v>D</v>
          </cell>
          <cell r="C1587">
            <v>15</v>
          </cell>
        </row>
        <row r="1588">
          <cell r="A1588" t="str">
            <v>LAF1804</v>
          </cell>
          <cell r="B1588" t="str">
            <v>D</v>
          </cell>
          <cell r="C1588">
            <v>86.32</v>
          </cell>
        </row>
        <row r="1589">
          <cell r="A1589" t="str">
            <v>CAF1805C</v>
          </cell>
          <cell r="B1589" t="str">
            <v>D</v>
          </cell>
          <cell r="C1589">
            <v>27.04</v>
          </cell>
        </row>
        <row r="1590">
          <cell r="A1590" t="str">
            <v>LAF1805</v>
          </cell>
          <cell r="B1590" t="str">
            <v>D</v>
          </cell>
          <cell r="C1590">
            <v>47.26</v>
          </cell>
        </row>
        <row r="1591">
          <cell r="A1591" t="str">
            <v>CAF1806P</v>
          </cell>
          <cell r="B1591" t="str">
            <v>D</v>
          </cell>
          <cell r="C1591">
            <v>19.350000000000001</v>
          </cell>
        </row>
        <row r="1592">
          <cell r="A1592" t="str">
            <v>LAF1806</v>
          </cell>
          <cell r="B1592" t="str">
            <v>D</v>
          </cell>
          <cell r="C1592">
            <v>93.88</v>
          </cell>
        </row>
        <row r="1593">
          <cell r="A1593" t="str">
            <v>CAF1807C</v>
          </cell>
          <cell r="B1593" t="str">
            <v>D</v>
          </cell>
          <cell r="C1593">
            <v>14.48</v>
          </cell>
        </row>
        <row r="1594">
          <cell r="A1594" t="str">
            <v>CAF1807P</v>
          </cell>
          <cell r="B1594" t="str">
            <v>D</v>
          </cell>
          <cell r="C1594">
            <v>11.91</v>
          </cell>
        </row>
        <row r="1595">
          <cell r="A1595" t="str">
            <v>LAF1807</v>
          </cell>
          <cell r="B1595" t="str">
            <v>D</v>
          </cell>
          <cell r="C1595">
            <v>91.14</v>
          </cell>
        </row>
        <row r="1596">
          <cell r="A1596" t="str">
            <v>CAF1808C</v>
          </cell>
          <cell r="B1596" t="str">
            <v>D</v>
          </cell>
          <cell r="C1596">
            <v>14.1</v>
          </cell>
        </row>
        <row r="1597">
          <cell r="A1597" t="str">
            <v>CAF1808P</v>
          </cell>
          <cell r="B1597" t="str">
            <v>D</v>
          </cell>
          <cell r="C1597">
            <v>12.31</v>
          </cell>
        </row>
        <row r="1598">
          <cell r="A1598" t="str">
            <v>CAF1809P</v>
          </cell>
          <cell r="B1598" t="str">
            <v>D</v>
          </cell>
          <cell r="C1598">
            <v>22.04</v>
          </cell>
        </row>
        <row r="1599">
          <cell r="A1599" t="str">
            <v>LAF1809</v>
          </cell>
          <cell r="B1599" t="str">
            <v>D</v>
          </cell>
          <cell r="C1599">
            <v>47.35</v>
          </cell>
        </row>
        <row r="1600">
          <cell r="A1600" t="str">
            <v>CAF1810C</v>
          </cell>
          <cell r="B1600" t="str">
            <v>D</v>
          </cell>
          <cell r="C1600">
            <v>25.9</v>
          </cell>
        </row>
        <row r="1601">
          <cell r="A1601" t="str">
            <v>CAF1810P</v>
          </cell>
          <cell r="B1601" t="str">
            <v>D</v>
          </cell>
          <cell r="C1601">
            <v>22.1</v>
          </cell>
        </row>
        <row r="1602">
          <cell r="A1602" t="str">
            <v>LAF1810</v>
          </cell>
          <cell r="B1602" t="str">
            <v>D</v>
          </cell>
          <cell r="C1602">
            <v>96.84</v>
          </cell>
        </row>
        <row r="1603">
          <cell r="A1603" t="str">
            <v>LAF1810MXM</v>
          </cell>
          <cell r="B1603" t="str">
            <v>N</v>
          </cell>
          <cell r="C1603">
            <v>123.8</v>
          </cell>
        </row>
        <row r="1604">
          <cell r="A1604" t="str">
            <v>CAF1811C</v>
          </cell>
          <cell r="B1604" t="str">
            <v>D</v>
          </cell>
          <cell r="C1604">
            <v>18.62</v>
          </cell>
        </row>
        <row r="1605">
          <cell r="A1605" t="str">
            <v>CAF1811P</v>
          </cell>
          <cell r="B1605" t="str">
            <v>D</v>
          </cell>
          <cell r="C1605">
            <v>15.57</v>
          </cell>
        </row>
        <row r="1606">
          <cell r="A1606" t="str">
            <v>LAF1811</v>
          </cell>
          <cell r="B1606" t="str">
            <v>D</v>
          </cell>
          <cell r="C1606">
            <v>70.709999999999994</v>
          </cell>
        </row>
        <row r="1607">
          <cell r="A1607" t="str">
            <v>CAF1812C</v>
          </cell>
          <cell r="B1607" t="str">
            <v>D</v>
          </cell>
          <cell r="C1607">
            <v>16.8</v>
          </cell>
        </row>
        <row r="1608">
          <cell r="A1608" t="str">
            <v>CAF1812P</v>
          </cell>
          <cell r="B1608" t="str">
            <v>D</v>
          </cell>
          <cell r="C1608">
            <v>14</v>
          </cell>
        </row>
        <row r="1609">
          <cell r="A1609" t="str">
            <v>LAF1812</v>
          </cell>
          <cell r="B1609" t="str">
            <v>D</v>
          </cell>
          <cell r="C1609">
            <v>169.03</v>
          </cell>
        </row>
        <row r="1610">
          <cell r="A1610" t="str">
            <v>LAF1813</v>
          </cell>
          <cell r="B1610" t="str">
            <v>B</v>
          </cell>
          <cell r="C1610">
            <v>70.59</v>
          </cell>
        </row>
        <row r="1611">
          <cell r="A1611" t="str">
            <v>CAF1813P</v>
          </cell>
          <cell r="B1611" t="str">
            <v>D</v>
          </cell>
          <cell r="C1611">
            <v>10.93</v>
          </cell>
        </row>
        <row r="1612">
          <cell r="A1612" t="str">
            <v>CAF1814P</v>
          </cell>
          <cell r="B1612" t="str">
            <v>B</v>
          </cell>
          <cell r="C1612">
            <v>16.61</v>
          </cell>
        </row>
        <row r="1613">
          <cell r="A1613" t="str">
            <v>LAF1814</v>
          </cell>
          <cell r="B1613" t="str">
            <v>D</v>
          </cell>
          <cell r="C1613">
            <v>50.72</v>
          </cell>
        </row>
        <row r="1614">
          <cell r="A1614" t="str">
            <v>CAF1815P</v>
          </cell>
          <cell r="B1614" t="str">
            <v>A</v>
          </cell>
          <cell r="C1614">
            <v>15</v>
          </cell>
        </row>
        <row r="1615">
          <cell r="A1615" t="str">
            <v>LAF1815</v>
          </cell>
          <cell r="B1615" t="str">
            <v>D</v>
          </cell>
          <cell r="C1615">
            <v>100.8</v>
          </cell>
        </row>
        <row r="1616">
          <cell r="A1616" t="str">
            <v>CAF1816C</v>
          </cell>
          <cell r="B1616" t="str">
            <v>D</v>
          </cell>
          <cell r="C1616">
            <v>19.670000000000002</v>
          </cell>
        </row>
        <row r="1617">
          <cell r="A1617" t="str">
            <v>CAF1816P</v>
          </cell>
          <cell r="B1617" t="str">
            <v>B</v>
          </cell>
          <cell r="C1617">
            <v>17.05</v>
          </cell>
        </row>
        <row r="1618">
          <cell r="A1618" t="str">
            <v>LAF1816</v>
          </cell>
          <cell r="B1618" t="str">
            <v>D</v>
          </cell>
          <cell r="C1618">
            <v>105.66</v>
          </cell>
        </row>
        <row r="1619">
          <cell r="A1619" t="str">
            <v>CAF1817P</v>
          </cell>
          <cell r="B1619" t="str">
            <v>A</v>
          </cell>
          <cell r="C1619">
            <v>14.5</v>
          </cell>
        </row>
        <row r="1620">
          <cell r="A1620" t="str">
            <v>LAF1817</v>
          </cell>
          <cell r="B1620" t="str">
            <v>D</v>
          </cell>
          <cell r="C1620">
            <v>101.53</v>
          </cell>
        </row>
        <row r="1621">
          <cell r="A1621" t="str">
            <v>CAF1818P</v>
          </cell>
          <cell r="B1621" t="str">
            <v>D</v>
          </cell>
          <cell r="C1621">
            <v>31.69</v>
          </cell>
        </row>
        <row r="1622">
          <cell r="A1622" t="str">
            <v>LAF1818</v>
          </cell>
          <cell r="B1622" t="str">
            <v>D</v>
          </cell>
          <cell r="C1622">
            <v>184.33</v>
          </cell>
        </row>
        <row r="1623">
          <cell r="A1623" t="str">
            <v>LAF1818MXM</v>
          </cell>
          <cell r="B1623" t="str">
            <v>N</v>
          </cell>
          <cell r="C1623">
            <v>265.23</v>
          </cell>
        </row>
        <row r="1624">
          <cell r="A1624" t="str">
            <v>LAF1819</v>
          </cell>
          <cell r="B1624" t="str">
            <v>D</v>
          </cell>
          <cell r="C1624">
            <v>71.099999999999994</v>
          </cell>
        </row>
        <row r="1625">
          <cell r="A1625" t="str">
            <v>CAF1820P</v>
          </cell>
          <cell r="B1625" t="str">
            <v>A</v>
          </cell>
          <cell r="C1625">
            <v>11.6</v>
          </cell>
        </row>
        <row r="1626">
          <cell r="A1626" t="str">
            <v>LAF1820</v>
          </cell>
          <cell r="B1626" t="str">
            <v>D</v>
          </cell>
          <cell r="C1626">
            <v>44.39</v>
          </cell>
        </row>
        <row r="1627">
          <cell r="A1627" t="str">
            <v>CAF1821P</v>
          </cell>
          <cell r="B1627" t="str">
            <v>D</v>
          </cell>
          <cell r="C1627">
            <v>22.08</v>
          </cell>
        </row>
        <row r="1628">
          <cell r="A1628" t="str">
            <v>LAF1821</v>
          </cell>
          <cell r="B1628" t="str">
            <v>B</v>
          </cell>
          <cell r="C1628">
            <v>195.89</v>
          </cell>
        </row>
        <row r="1629">
          <cell r="A1629" t="str">
            <v>CAF1822P</v>
          </cell>
          <cell r="B1629" t="str">
            <v>D</v>
          </cell>
          <cell r="C1629">
            <v>25.18</v>
          </cell>
        </row>
        <row r="1630">
          <cell r="A1630" t="str">
            <v>LAF1822</v>
          </cell>
          <cell r="B1630" t="str">
            <v>D</v>
          </cell>
          <cell r="C1630">
            <v>42.3</v>
          </cell>
        </row>
        <row r="1631">
          <cell r="A1631" t="str">
            <v>CAF1823B</v>
          </cell>
          <cell r="B1631" t="str">
            <v>D</v>
          </cell>
          <cell r="C1631">
            <v>12.36</v>
          </cell>
        </row>
        <row r="1632">
          <cell r="A1632" t="str">
            <v>LAF1823</v>
          </cell>
          <cell r="B1632" t="str">
            <v>D</v>
          </cell>
          <cell r="C1632">
            <v>38.28</v>
          </cell>
        </row>
        <row r="1633">
          <cell r="A1633" t="str">
            <v>CAF1824P</v>
          </cell>
          <cell r="B1633" t="str">
            <v>D</v>
          </cell>
          <cell r="C1633">
            <v>12.22</v>
          </cell>
        </row>
        <row r="1634">
          <cell r="A1634" t="str">
            <v>CAF1825P</v>
          </cell>
          <cell r="B1634" t="str">
            <v>D</v>
          </cell>
          <cell r="C1634">
            <v>18.57</v>
          </cell>
        </row>
        <row r="1635">
          <cell r="A1635" t="str">
            <v>LAF1825</v>
          </cell>
          <cell r="B1635" t="str">
            <v>D</v>
          </cell>
          <cell r="C1635">
            <v>199.72</v>
          </cell>
        </row>
        <row r="1636">
          <cell r="A1636">
            <v>1826</v>
          </cell>
          <cell r="B1636" t="str">
            <v>D</v>
          </cell>
          <cell r="C1636">
            <v>8.08</v>
          </cell>
        </row>
        <row r="1637">
          <cell r="A1637" t="str">
            <v>CAF1826P</v>
          </cell>
          <cell r="B1637" t="str">
            <v>D</v>
          </cell>
          <cell r="C1637">
            <v>25.48</v>
          </cell>
        </row>
        <row r="1638">
          <cell r="A1638" t="str">
            <v>LAF1826</v>
          </cell>
          <cell r="B1638" t="str">
            <v>D</v>
          </cell>
          <cell r="C1638">
            <v>117.32</v>
          </cell>
        </row>
        <row r="1639">
          <cell r="A1639" t="str">
            <v>LAF1826F</v>
          </cell>
          <cell r="B1639" t="str">
            <v>D</v>
          </cell>
          <cell r="C1639">
            <v>21.34</v>
          </cell>
        </row>
        <row r="1640">
          <cell r="A1640" t="str">
            <v>CAF1827P</v>
          </cell>
          <cell r="B1640" t="str">
            <v>D</v>
          </cell>
          <cell r="C1640">
            <v>16.2</v>
          </cell>
        </row>
        <row r="1641">
          <cell r="A1641" t="str">
            <v>LAF1827</v>
          </cell>
          <cell r="B1641" t="str">
            <v>D</v>
          </cell>
          <cell r="C1641">
            <v>35.03</v>
          </cell>
        </row>
        <row r="1642">
          <cell r="A1642" t="str">
            <v>CAF1828P</v>
          </cell>
          <cell r="B1642" t="str">
            <v>D</v>
          </cell>
          <cell r="C1642">
            <v>12.96</v>
          </cell>
        </row>
        <row r="1643">
          <cell r="A1643" t="str">
            <v>LAF1828</v>
          </cell>
          <cell r="B1643" t="str">
            <v>D</v>
          </cell>
          <cell r="C1643">
            <v>194.37</v>
          </cell>
        </row>
        <row r="1644">
          <cell r="A1644" t="str">
            <v>CAF1829P</v>
          </cell>
          <cell r="B1644" t="str">
            <v>D</v>
          </cell>
          <cell r="C1644">
            <v>19.559999999999999</v>
          </cell>
        </row>
        <row r="1645">
          <cell r="A1645" t="str">
            <v>LAF1829</v>
          </cell>
          <cell r="B1645" t="str">
            <v>B</v>
          </cell>
          <cell r="C1645">
            <v>39.83</v>
          </cell>
        </row>
        <row r="1646">
          <cell r="A1646" t="str">
            <v>CAF1830P</v>
          </cell>
          <cell r="B1646" t="str">
            <v>D</v>
          </cell>
          <cell r="C1646">
            <v>17.84</v>
          </cell>
        </row>
        <row r="1647">
          <cell r="A1647" t="str">
            <v>LAF1831</v>
          </cell>
          <cell r="B1647" t="str">
            <v>D</v>
          </cell>
          <cell r="C1647">
            <v>25.8</v>
          </cell>
        </row>
        <row r="1648">
          <cell r="A1648" t="str">
            <v>CAF1832P</v>
          </cell>
          <cell r="B1648" t="str">
            <v>D</v>
          </cell>
          <cell r="C1648">
            <v>17.59</v>
          </cell>
        </row>
        <row r="1649">
          <cell r="A1649" t="str">
            <v>LFH1832</v>
          </cell>
          <cell r="B1649" t="str">
            <v>B</v>
          </cell>
          <cell r="C1649">
            <v>81.040000000000006</v>
          </cell>
        </row>
        <row r="1650">
          <cell r="A1650" t="str">
            <v>CAF1833P</v>
          </cell>
          <cell r="B1650" t="str">
            <v>D</v>
          </cell>
          <cell r="C1650">
            <v>20.190000000000001</v>
          </cell>
        </row>
        <row r="1651">
          <cell r="A1651" t="str">
            <v>LAF1833</v>
          </cell>
          <cell r="B1651" t="str">
            <v>C</v>
          </cell>
          <cell r="C1651">
            <v>39.700000000000003</v>
          </cell>
        </row>
        <row r="1652">
          <cell r="A1652" t="str">
            <v>CAF1834P</v>
          </cell>
          <cell r="B1652" t="str">
            <v>D</v>
          </cell>
          <cell r="C1652">
            <v>16.59</v>
          </cell>
        </row>
        <row r="1653">
          <cell r="A1653" t="str">
            <v>LAF1834</v>
          </cell>
          <cell r="B1653" t="str">
            <v>C</v>
          </cell>
          <cell r="C1653">
            <v>58.05</v>
          </cell>
        </row>
        <row r="1654">
          <cell r="A1654" t="str">
            <v>CAF1835P</v>
          </cell>
          <cell r="B1654" t="str">
            <v>D</v>
          </cell>
          <cell r="C1654">
            <v>21.42</v>
          </cell>
        </row>
        <row r="1655">
          <cell r="A1655" t="str">
            <v>LAF1835</v>
          </cell>
          <cell r="B1655" t="str">
            <v>D</v>
          </cell>
          <cell r="C1655">
            <v>41.14</v>
          </cell>
        </row>
        <row r="1656">
          <cell r="A1656" t="str">
            <v>CAF1836P</v>
          </cell>
          <cell r="B1656" t="str">
            <v>D</v>
          </cell>
          <cell r="C1656">
            <v>27.41</v>
          </cell>
        </row>
        <row r="1657">
          <cell r="A1657" t="str">
            <v>LAF1836</v>
          </cell>
          <cell r="B1657" t="str">
            <v>D</v>
          </cell>
          <cell r="C1657">
            <v>44.27</v>
          </cell>
        </row>
        <row r="1658">
          <cell r="A1658" t="str">
            <v>CAF1837C</v>
          </cell>
          <cell r="B1658" t="str">
            <v>D</v>
          </cell>
          <cell r="C1658">
            <v>19.79</v>
          </cell>
        </row>
        <row r="1659">
          <cell r="A1659" t="str">
            <v>CAF1837P</v>
          </cell>
          <cell r="B1659" t="str">
            <v>D</v>
          </cell>
          <cell r="C1659">
            <v>17.260000000000002</v>
          </cell>
        </row>
        <row r="1660">
          <cell r="A1660" t="str">
            <v>LAF1837</v>
          </cell>
          <cell r="B1660" t="str">
            <v>D</v>
          </cell>
          <cell r="C1660">
            <v>82.7</v>
          </cell>
        </row>
        <row r="1661">
          <cell r="A1661" t="str">
            <v>LAF1838</v>
          </cell>
          <cell r="B1661" t="str">
            <v>D</v>
          </cell>
          <cell r="C1661">
            <v>62.2</v>
          </cell>
        </row>
        <row r="1662">
          <cell r="A1662" t="str">
            <v>CAF1839P</v>
          </cell>
          <cell r="B1662" t="str">
            <v>B</v>
          </cell>
          <cell r="C1662">
            <v>26.93</v>
          </cell>
        </row>
        <row r="1663">
          <cell r="A1663" t="str">
            <v>LAF1839</v>
          </cell>
          <cell r="B1663" t="str">
            <v>A</v>
          </cell>
          <cell r="C1663">
            <v>93.06</v>
          </cell>
        </row>
        <row r="1664">
          <cell r="A1664" t="str">
            <v>CAF1840C</v>
          </cell>
          <cell r="B1664" t="str">
            <v>D</v>
          </cell>
          <cell r="C1664">
            <v>26.15</v>
          </cell>
        </row>
        <row r="1665">
          <cell r="A1665" t="str">
            <v>CAF1840P</v>
          </cell>
          <cell r="B1665" t="str">
            <v>D</v>
          </cell>
          <cell r="C1665">
            <v>19.260000000000002</v>
          </cell>
        </row>
        <row r="1666">
          <cell r="A1666" t="str">
            <v>LAF1840</v>
          </cell>
          <cell r="B1666" t="str">
            <v>D</v>
          </cell>
          <cell r="C1666">
            <v>71.58</v>
          </cell>
        </row>
        <row r="1667">
          <cell r="A1667" t="str">
            <v>CAF1841C</v>
          </cell>
          <cell r="B1667" t="str">
            <v>D</v>
          </cell>
          <cell r="C1667">
            <v>25.03</v>
          </cell>
        </row>
        <row r="1668">
          <cell r="A1668" t="str">
            <v>CAF1841P</v>
          </cell>
          <cell r="B1668" t="str">
            <v>D</v>
          </cell>
          <cell r="C1668">
            <v>21.73</v>
          </cell>
        </row>
        <row r="1669">
          <cell r="A1669" t="str">
            <v>LAF1841</v>
          </cell>
          <cell r="B1669" t="str">
            <v>D</v>
          </cell>
          <cell r="C1669">
            <v>39.18</v>
          </cell>
        </row>
        <row r="1670">
          <cell r="A1670" t="str">
            <v>CAF1842C</v>
          </cell>
          <cell r="B1670" t="str">
            <v>D</v>
          </cell>
          <cell r="C1670">
            <v>46.03</v>
          </cell>
        </row>
        <row r="1671">
          <cell r="A1671" t="str">
            <v>CAF1842P</v>
          </cell>
          <cell r="B1671" t="str">
            <v>D</v>
          </cell>
          <cell r="C1671">
            <v>38.409999999999997</v>
          </cell>
        </row>
        <row r="1672">
          <cell r="A1672" t="str">
            <v>LAF1842</v>
          </cell>
          <cell r="B1672" t="str">
            <v>D</v>
          </cell>
          <cell r="C1672">
            <v>33.11</v>
          </cell>
        </row>
        <row r="1673">
          <cell r="A1673" t="str">
            <v>AF1843</v>
          </cell>
          <cell r="B1673" t="str">
            <v>D</v>
          </cell>
          <cell r="C1673">
            <v>26.98</v>
          </cell>
        </row>
        <row r="1674">
          <cell r="A1674" t="str">
            <v>CAF1843C</v>
          </cell>
          <cell r="B1674" t="str">
            <v>D</v>
          </cell>
          <cell r="C1674">
            <v>47</v>
          </cell>
        </row>
        <row r="1675">
          <cell r="A1675" t="str">
            <v>CAF1843P</v>
          </cell>
          <cell r="B1675" t="str">
            <v>D</v>
          </cell>
          <cell r="C1675">
            <v>31.4</v>
          </cell>
        </row>
        <row r="1676">
          <cell r="A1676" t="str">
            <v>LAF1843</v>
          </cell>
          <cell r="B1676" t="str">
            <v>D</v>
          </cell>
          <cell r="C1676">
            <v>72.959999999999994</v>
          </cell>
        </row>
        <row r="1677">
          <cell r="A1677" t="str">
            <v>CAF1844P</v>
          </cell>
          <cell r="B1677" t="str">
            <v>B</v>
          </cell>
          <cell r="C1677">
            <v>19.79</v>
          </cell>
        </row>
        <row r="1678">
          <cell r="A1678" t="str">
            <v>LAF1844</v>
          </cell>
          <cell r="B1678" t="str">
            <v>D</v>
          </cell>
          <cell r="C1678">
            <v>203.23</v>
          </cell>
        </row>
        <row r="1679">
          <cell r="A1679" t="str">
            <v>CAF1845P</v>
          </cell>
          <cell r="B1679" t="str">
            <v>A</v>
          </cell>
          <cell r="C1679">
            <v>12.6</v>
          </cell>
        </row>
        <row r="1680">
          <cell r="A1680" t="str">
            <v>LAF1845</v>
          </cell>
          <cell r="B1680" t="str">
            <v>D</v>
          </cell>
          <cell r="C1680">
            <v>132.44</v>
          </cell>
        </row>
        <row r="1681">
          <cell r="A1681" t="str">
            <v>LAF1845MXM</v>
          </cell>
          <cell r="B1681" t="str">
            <v>N</v>
          </cell>
          <cell r="C1681">
            <v>127.22</v>
          </cell>
        </row>
        <row r="1682">
          <cell r="A1682" t="str">
            <v>CAF1846P</v>
          </cell>
          <cell r="B1682" t="str">
            <v>A</v>
          </cell>
          <cell r="C1682">
            <v>19.68</v>
          </cell>
        </row>
        <row r="1683">
          <cell r="A1683" t="str">
            <v>LAF1846</v>
          </cell>
          <cell r="B1683" t="str">
            <v>D</v>
          </cell>
          <cell r="C1683">
            <v>47.46</v>
          </cell>
        </row>
        <row r="1684">
          <cell r="A1684" t="str">
            <v>CAF1847C</v>
          </cell>
          <cell r="B1684" t="str">
            <v>D</v>
          </cell>
          <cell r="C1684">
            <v>26.85</v>
          </cell>
        </row>
        <row r="1685">
          <cell r="A1685" t="str">
            <v>CAF1847P</v>
          </cell>
          <cell r="B1685" t="str">
            <v>D</v>
          </cell>
          <cell r="C1685">
            <v>19.95</v>
          </cell>
        </row>
        <row r="1686">
          <cell r="A1686" t="str">
            <v>LAF1847</v>
          </cell>
          <cell r="B1686" t="str">
            <v>D</v>
          </cell>
          <cell r="C1686">
            <v>76.150000000000006</v>
          </cell>
        </row>
        <row r="1687">
          <cell r="A1687" t="str">
            <v>CAF1848C</v>
          </cell>
          <cell r="B1687" t="str">
            <v>D</v>
          </cell>
          <cell r="C1687">
            <v>14.54</v>
          </cell>
        </row>
        <row r="1688">
          <cell r="A1688" t="str">
            <v>CAF1848P</v>
          </cell>
          <cell r="B1688" t="str">
            <v>B</v>
          </cell>
          <cell r="C1688">
            <v>10.68</v>
          </cell>
        </row>
        <row r="1689">
          <cell r="A1689" t="str">
            <v>LAF1848</v>
          </cell>
          <cell r="B1689" t="str">
            <v>D</v>
          </cell>
          <cell r="C1689">
            <v>181.51</v>
          </cell>
        </row>
        <row r="1690">
          <cell r="A1690" t="str">
            <v>CAF1849C</v>
          </cell>
          <cell r="B1690" t="str">
            <v>D</v>
          </cell>
          <cell r="C1690">
            <v>14.68</v>
          </cell>
        </row>
        <row r="1691">
          <cell r="A1691" t="str">
            <v>CAF1849P</v>
          </cell>
          <cell r="B1691" t="str">
            <v>B</v>
          </cell>
          <cell r="C1691">
            <v>11.34</v>
          </cell>
        </row>
        <row r="1692">
          <cell r="A1692" t="str">
            <v>LAF1849</v>
          </cell>
          <cell r="B1692" t="str">
            <v>A</v>
          </cell>
          <cell r="C1692">
            <v>70.92</v>
          </cell>
        </row>
        <row r="1693">
          <cell r="A1693" t="str">
            <v>LAF1849MXM</v>
          </cell>
          <cell r="B1693" t="str">
            <v>N</v>
          </cell>
          <cell r="C1693">
            <v>87.25</v>
          </cell>
        </row>
        <row r="1694">
          <cell r="A1694" t="str">
            <v>CAF1850P</v>
          </cell>
          <cell r="B1694" t="str">
            <v>A</v>
          </cell>
          <cell r="C1694">
            <v>12.15</v>
          </cell>
        </row>
        <row r="1695">
          <cell r="A1695" t="str">
            <v>CAF1851P</v>
          </cell>
          <cell r="B1695" t="str">
            <v>D</v>
          </cell>
          <cell r="C1695">
            <v>10.68</v>
          </cell>
        </row>
        <row r="1696">
          <cell r="A1696" t="str">
            <v>LAF1851</v>
          </cell>
          <cell r="B1696" t="str">
            <v>N</v>
          </cell>
          <cell r="C1696">
            <v>63.16</v>
          </cell>
        </row>
        <row r="1697">
          <cell r="A1697" t="str">
            <v>CAF1852P</v>
          </cell>
          <cell r="B1697" t="str">
            <v>D</v>
          </cell>
          <cell r="C1697">
            <v>16.78</v>
          </cell>
        </row>
        <row r="1698">
          <cell r="A1698" t="str">
            <v>LAF1853</v>
          </cell>
          <cell r="B1698" t="str">
            <v>D</v>
          </cell>
          <cell r="C1698">
            <v>40.26</v>
          </cell>
        </row>
        <row r="1699">
          <cell r="A1699" t="str">
            <v>LAF1854</v>
          </cell>
          <cell r="B1699" t="str">
            <v>D</v>
          </cell>
          <cell r="C1699">
            <v>48.68</v>
          </cell>
        </row>
        <row r="1700">
          <cell r="A1700" t="str">
            <v>CAF1855P</v>
          </cell>
          <cell r="B1700" t="str">
            <v>D</v>
          </cell>
          <cell r="C1700">
            <v>13.39</v>
          </cell>
        </row>
        <row r="1701">
          <cell r="A1701" t="str">
            <v>CAF1856P</v>
          </cell>
          <cell r="B1701" t="str">
            <v>D</v>
          </cell>
          <cell r="C1701">
            <v>20.23</v>
          </cell>
        </row>
        <row r="1702">
          <cell r="A1702" t="str">
            <v>LAF1856</v>
          </cell>
          <cell r="B1702" t="str">
            <v>D</v>
          </cell>
          <cell r="C1702">
            <v>10.18</v>
          </cell>
        </row>
        <row r="1703">
          <cell r="A1703" t="str">
            <v>LAF1857</v>
          </cell>
          <cell r="B1703" t="str">
            <v>D</v>
          </cell>
          <cell r="C1703">
            <v>60.24</v>
          </cell>
        </row>
        <row r="1704">
          <cell r="A1704" t="str">
            <v>CAF1858C</v>
          </cell>
          <cell r="B1704" t="str">
            <v>D</v>
          </cell>
          <cell r="C1704">
            <v>22.94</v>
          </cell>
        </row>
        <row r="1705">
          <cell r="A1705" t="str">
            <v>LAF1858</v>
          </cell>
          <cell r="B1705" t="str">
            <v>D</v>
          </cell>
          <cell r="C1705">
            <v>52.17</v>
          </cell>
        </row>
        <row r="1706">
          <cell r="A1706" t="str">
            <v>LAF1859</v>
          </cell>
          <cell r="B1706" t="str">
            <v>D</v>
          </cell>
          <cell r="C1706">
            <v>51.42</v>
          </cell>
        </row>
        <row r="1707">
          <cell r="A1707" t="str">
            <v>CAF1861P</v>
          </cell>
          <cell r="B1707" t="str">
            <v>N</v>
          </cell>
          <cell r="C1707">
            <v>27.84</v>
          </cell>
        </row>
        <row r="1708">
          <cell r="A1708" t="str">
            <v>CAF1862P</v>
          </cell>
          <cell r="B1708" t="str">
            <v>D</v>
          </cell>
          <cell r="C1708">
            <v>19.48</v>
          </cell>
        </row>
        <row r="1709">
          <cell r="A1709" t="str">
            <v>CAF1863P</v>
          </cell>
          <cell r="B1709" t="str">
            <v>N</v>
          </cell>
          <cell r="C1709">
            <v>34.51</v>
          </cell>
        </row>
        <row r="1710">
          <cell r="A1710" t="str">
            <v>LAF1863</v>
          </cell>
          <cell r="B1710" t="str">
            <v>D</v>
          </cell>
          <cell r="C1710">
            <v>63.39</v>
          </cell>
        </row>
        <row r="1711">
          <cell r="A1711" t="str">
            <v>LAF1864</v>
          </cell>
          <cell r="B1711" t="str">
            <v>D</v>
          </cell>
          <cell r="C1711">
            <v>70.37</v>
          </cell>
        </row>
        <row r="1712">
          <cell r="A1712" t="str">
            <v>CAF1864P</v>
          </cell>
          <cell r="B1712" t="str">
            <v>N</v>
          </cell>
          <cell r="C1712">
            <v>12.68</v>
          </cell>
        </row>
        <row r="1713">
          <cell r="A1713" t="str">
            <v>CAF1865P</v>
          </cell>
          <cell r="B1713" t="str">
            <v>D</v>
          </cell>
          <cell r="C1713">
            <v>21.95</v>
          </cell>
        </row>
        <row r="1714">
          <cell r="A1714" t="str">
            <v>LAF1865</v>
          </cell>
          <cell r="B1714" t="str">
            <v>D</v>
          </cell>
          <cell r="C1714">
            <v>60.55</v>
          </cell>
        </row>
        <row r="1715">
          <cell r="A1715" t="str">
            <v>CAF1866C</v>
          </cell>
          <cell r="B1715" t="str">
            <v>N</v>
          </cell>
          <cell r="C1715">
            <v>38.659999999999997</v>
          </cell>
        </row>
        <row r="1716">
          <cell r="A1716" t="str">
            <v>LAF1866</v>
          </cell>
          <cell r="B1716" t="str">
            <v>D</v>
          </cell>
          <cell r="C1716">
            <v>85.51</v>
          </cell>
        </row>
        <row r="1717">
          <cell r="A1717">
            <v>1867</v>
          </cell>
          <cell r="B1717" t="str">
            <v>D</v>
          </cell>
          <cell r="C1717">
            <v>11.94</v>
          </cell>
        </row>
        <row r="1718">
          <cell r="A1718" t="str">
            <v>CAF1867P</v>
          </cell>
          <cell r="B1718" t="str">
            <v>N</v>
          </cell>
          <cell r="C1718">
            <v>24.45</v>
          </cell>
        </row>
        <row r="1719">
          <cell r="A1719" t="str">
            <v>LAF1867</v>
          </cell>
          <cell r="B1719" t="str">
            <v>D</v>
          </cell>
          <cell r="C1719">
            <v>81.510000000000005</v>
          </cell>
        </row>
        <row r="1720">
          <cell r="A1720">
            <v>1868</v>
          </cell>
          <cell r="B1720" t="str">
            <v>D</v>
          </cell>
          <cell r="C1720">
            <v>29.64</v>
          </cell>
        </row>
        <row r="1721">
          <cell r="A1721" t="str">
            <v>CAF1868P</v>
          </cell>
          <cell r="B1721" t="str">
            <v>N</v>
          </cell>
          <cell r="C1721">
            <v>15.27</v>
          </cell>
        </row>
        <row r="1722">
          <cell r="A1722" t="str">
            <v>LAF1868</v>
          </cell>
          <cell r="B1722" t="str">
            <v>D</v>
          </cell>
          <cell r="C1722">
            <v>276.44</v>
          </cell>
        </row>
        <row r="1723">
          <cell r="A1723">
            <v>1869</v>
          </cell>
          <cell r="B1723" t="str">
            <v>D</v>
          </cell>
          <cell r="C1723">
            <v>103.26</v>
          </cell>
        </row>
        <row r="1724">
          <cell r="A1724" t="str">
            <v>CAF1869P</v>
          </cell>
          <cell r="B1724" t="str">
            <v>N</v>
          </cell>
          <cell r="C1724">
            <v>15.57</v>
          </cell>
        </row>
        <row r="1725">
          <cell r="A1725" t="str">
            <v>LAF1869</v>
          </cell>
          <cell r="B1725" t="str">
            <v>B</v>
          </cell>
          <cell r="C1725">
            <v>36.53</v>
          </cell>
        </row>
        <row r="1726">
          <cell r="A1726" t="str">
            <v>CAF1870P</v>
          </cell>
          <cell r="B1726" t="str">
            <v>D</v>
          </cell>
          <cell r="C1726">
            <v>9.09</v>
          </cell>
        </row>
        <row r="1727">
          <cell r="A1727" t="str">
            <v>LAF1870</v>
          </cell>
          <cell r="B1727" t="str">
            <v>D</v>
          </cell>
          <cell r="C1727">
            <v>37.81</v>
          </cell>
        </row>
        <row r="1728">
          <cell r="A1728" t="str">
            <v>CAF1871P</v>
          </cell>
          <cell r="B1728" t="str">
            <v>N</v>
          </cell>
          <cell r="C1728">
            <v>15.02</v>
          </cell>
        </row>
        <row r="1729">
          <cell r="A1729" t="str">
            <v>LAF1871</v>
          </cell>
          <cell r="B1729" t="str">
            <v>D</v>
          </cell>
          <cell r="C1729">
            <v>51.07</v>
          </cell>
        </row>
        <row r="1730">
          <cell r="A1730" t="str">
            <v>CAF1872C</v>
          </cell>
          <cell r="B1730" t="str">
            <v>D</v>
          </cell>
          <cell r="C1730">
            <v>20.149999999999999</v>
          </cell>
        </row>
        <row r="1731">
          <cell r="A1731" t="str">
            <v>LAF1872</v>
          </cell>
          <cell r="B1731" t="str">
            <v>D</v>
          </cell>
          <cell r="C1731">
            <v>38.130000000000003</v>
          </cell>
        </row>
        <row r="1732">
          <cell r="A1732" t="str">
            <v>CAF1873P</v>
          </cell>
          <cell r="B1732" t="str">
            <v>D</v>
          </cell>
          <cell r="C1732">
            <v>14.77</v>
          </cell>
        </row>
        <row r="1733">
          <cell r="A1733" t="str">
            <v>LAF1873</v>
          </cell>
          <cell r="B1733" t="str">
            <v>D</v>
          </cell>
          <cell r="C1733">
            <v>38.04</v>
          </cell>
        </row>
        <row r="1734">
          <cell r="A1734" t="str">
            <v>CAF1874P</v>
          </cell>
          <cell r="B1734" t="str">
            <v>N</v>
          </cell>
          <cell r="C1734">
            <v>17.75</v>
          </cell>
        </row>
        <row r="1735">
          <cell r="A1735" t="str">
            <v>L1874T</v>
          </cell>
          <cell r="B1735" t="str">
            <v>D</v>
          </cell>
          <cell r="C1735">
            <v>32.42</v>
          </cell>
        </row>
        <row r="1736">
          <cell r="A1736" t="str">
            <v>CAF1875P</v>
          </cell>
          <cell r="B1736" t="str">
            <v>N</v>
          </cell>
          <cell r="C1736">
            <v>21.9</v>
          </cell>
        </row>
        <row r="1737">
          <cell r="A1737" t="str">
            <v>CAF1876P</v>
          </cell>
          <cell r="B1737" t="str">
            <v>N</v>
          </cell>
          <cell r="C1737">
            <v>17.28</v>
          </cell>
        </row>
        <row r="1738">
          <cell r="A1738" t="str">
            <v>LAF1876</v>
          </cell>
          <cell r="B1738" t="str">
            <v>D</v>
          </cell>
          <cell r="C1738">
            <v>54.31</v>
          </cell>
        </row>
        <row r="1739">
          <cell r="A1739" t="str">
            <v>CAF1877C</v>
          </cell>
          <cell r="B1739" t="str">
            <v>N</v>
          </cell>
          <cell r="C1739">
            <v>72</v>
          </cell>
        </row>
        <row r="1740">
          <cell r="A1740" t="str">
            <v>LAF1877</v>
          </cell>
          <cell r="B1740" t="str">
            <v>D</v>
          </cell>
          <cell r="C1740">
            <v>50.78</v>
          </cell>
        </row>
        <row r="1741">
          <cell r="A1741" t="str">
            <v>CAF1878P</v>
          </cell>
          <cell r="B1741" t="str">
            <v>N</v>
          </cell>
          <cell r="C1741">
            <v>21.46</v>
          </cell>
        </row>
        <row r="1742">
          <cell r="A1742" t="str">
            <v>LAF1878</v>
          </cell>
          <cell r="B1742" t="str">
            <v>A</v>
          </cell>
          <cell r="C1742">
            <v>37.72</v>
          </cell>
        </row>
        <row r="1743">
          <cell r="A1743" t="str">
            <v>LAF1878MXM</v>
          </cell>
          <cell r="B1743" t="str">
            <v>N</v>
          </cell>
          <cell r="C1743">
            <v>42.23</v>
          </cell>
        </row>
        <row r="1744">
          <cell r="A1744" t="str">
            <v>CAF1879P</v>
          </cell>
          <cell r="B1744" t="str">
            <v>N</v>
          </cell>
          <cell r="C1744">
            <v>29.69</v>
          </cell>
        </row>
        <row r="1745">
          <cell r="A1745" t="str">
            <v>LAF1879</v>
          </cell>
          <cell r="B1745" t="str">
            <v>D</v>
          </cell>
          <cell r="C1745">
            <v>41.46</v>
          </cell>
        </row>
        <row r="1746">
          <cell r="A1746" t="str">
            <v>LAF1881</v>
          </cell>
          <cell r="B1746" t="str">
            <v>D</v>
          </cell>
          <cell r="C1746">
            <v>60.59</v>
          </cell>
        </row>
        <row r="1747">
          <cell r="A1747" t="str">
            <v>CAF1882P</v>
          </cell>
          <cell r="B1747" t="str">
            <v>N</v>
          </cell>
          <cell r="C1747">
            <v>31.29</v>
          </cell>
        </row>
        <row r="1748">
          <cell r="A1748" t="str">
            <v>LAF1882</v>
          </cell>
          <cell r="B1748" t="str">
            <v>D</v>
          </cell>
          <cell r="C1748">
            <v>82.33</v>
          </cell>
        </row>
        <row r="1749">
          <cell r="A1749" t="str">
            <v>CAF1883P</v>
          </cell>
          <cell r="B1749" t="str">
            <v>N</v>
          </cell>
          <cell r="C1749">
            <v>21.98</v>
          </cell>
        </row>
        <row r="1750">
          <cell r="A1750" t="str">
            <v>CAF1884P</v>
          </cell>
          <cell r="B1750" t="str">
            <v>N</v>
          </cell>
          <cell r="C1750">
            <v>20.78</v>
          </cell>
        </row>
        <row r="1751">
          <cell r="A1751" t="str">
            <v>LAF1884</v>
          </cell>
          <cell r="B1751" t="str">
            <v>D</v>
          </cell>
          <cell r="C1751">
            <v>104.74</v>
          </cell>
        </row>
        <row r="1752">
          <cell r="A1752" t="str">
            <v>CAF1885P</v>
          </cell>
          <cell r="B1752" t="str">
            <v>B</v>
          </cell>
          <cell r="C1752">
            <v>5.15</v>
          </cell>
        </row>
        <row r="1753">
          <cell r="A1753" t="str">
            <v>LAF1885</v>
          </cell>
          <cell r="B1753" t="str">
            <v>D</v>
          </cell>
          <cell r="C1753">
            <v>47.64</v>
          </cell>
        </row>
        <row r="1754">
          <cell r="A1754">
            <v>1886</v>
          </cell>
          <cell r="B1754" t="str">
            <v>D</v>
          </cell>
          <cell r="C1754">
            <v>51.78</v>
          </cell>
        </row>
        <row r="1755">
          <cell r="A1755" t="str">
            <v>CAF1886P</v>
          </cell>
          <cell r="B1755" t="str">
            <v>N</v>
          </cell>
          <cell r="C1755">
            <v>22.58</v>
          </cell>
        </row>
        <row r="1756">
          <cell r="A1756" t="str">
            <v>LAF1886</v>
          </cell>
          <cell r="B1756" t="str">
            <v>D</v>
          </cell>
          <cell r="C1756">
            <v>127.11</v>
          </cell>
        </row>
        <row r="1757">
          <cell r="A1757">
            <v>1887</v>
          </cell>
          <cell r="B1757" t="str">
            <v>D</v>
          </cell>
          <cell r="C1757">
            <v>10.97</v>
          </cell>
        </row>
        <row r="1758">
          <cell r="A1758" t="str">
            <v>CAF1887P</v>
          </cell>
          <cell r="B1758" t="str">
            <v>B</v>
          </cell>
          <cell r="C1758">
            <v>5.34</v>
          </cell>
        </row>
        <row r="1759">
          <cell r="A1759" t="str">
            <v>LAF1887</v>
          </cell>
          <cell r="B1759" t="str">
            <v>D</v>
          </cell>
          <cell r="C1759">
            <v>88.51</v>
          </cell>
        </row>
        <row r="1760">
          <cell r="A1760" t="str">
            <v>LAF1888</v>
          </cell>
          <cell r="B1760" t="str">
            <v>D</v>
          </cell>
          <cell r="C1760">
            <v>59.13</v>
          </cell>
        </row>
        <row r="1761">
          <cell r="A1761" t="str">
            <v>LAF1889</v>
          </cell>
          <cell r="B1761" t="str">
            <v>D</v>
          </cell>
          <cell r="C1761">
            <v>45.46</v>
          </cell>
        </row>
        <row r="1762">
          <cell r="A1762" t="str">
            <v>AF1890</v>
          </cell>
          <cell r="B1762" t="str">
            <v>B</v>
          </cell>
          <cell r="C1762">
            <v>9.27</v>
          </cell>
        </row>
        <row r="1763">
          <cell r="A1763" t="str">
            <v>CAF1890P</v>
          </cell>
          <cell r="B1763" t="str">
            <v>N</v>
          </cell>
          <cell r="C1763">
            <v>21.51</v>
          </cell>
        </row>
        <row r="1764">
          <cell r="A1764" t="str">
            <v>LAF1891</v>
          </cell>
          <cell r="B1764" t="str">
            <v>D</v>
          </cell>
          <cell r="C1764">
            <v>108.17</v>
          </cell>
        </row>
        <row r="1765">
          <cell r="A1765" t="str">
            <v>LAF1892</v>
          </cell>
          <cell r="B1765" t="str">
            <v>D</v>
          </cell>
          <cell r="C1765">
            <v>223.6</v>
          </cell>
        </row>
        <row r="1766">
          <cell r="A1766" t="str">
            <v>LAF1894</v>
          </cell>
          <cell r="B1766" t="str">
            <v>D</v>
          </cell>
          <cell r="C1766">
            <v>10.41</v>
          </cell>
        </row>
        <row r="1767">
          <cell r="A1767" t="str">
            <v>LAF1896</v>
          </cell>
          <cell r="B1767" t="str">
            <v>D</v>
          </cell>
          <cell r="C1767">
            <v>49.32</v>
          </cell>
        </row>
        <row r="1768">
          <cell r="A1768" t="str">
            <v>CAF1897C</v>
          </cell>
          <cell r="B1768" t="str">
            <v>N</v>
          </cell>
          <cell r="C1768">
            <v>22.57</v>
          </cell>
        </row>
        <row r="1769">
          <cell r="A1769" t="str">
            <v>LAF1897</v>
          </cell>
          <cell r="B1769" t="str">
            <v>D</v>
          </cell>
          <cell r="C1769">
            <v>42.89</v>
          </cell>
        </row>
        <row r="1770">
          <cell r="A1770" t="str">
            <v>LAF1898</v>
          </cell>
          <cell r="B1770" t="str">
            <v>D</v>
          </cell>
          <cell r="C1770">
            <v>51.54</v>
          </cell>
        </row>
        <row r="1771">
          <cell r="A1771" t="str">
            <v>LAF1899</v>
          </cell>
          <cell r="B1771" t="str">
            <v>C</v>
          </cell>
          <cell r="C1771">
            <v>119.39</v>
          </cell>
        </row>
        <row r="1772">
          <cell r="A1772" t="str">
            <v>LAF1901</v>
          </cell>
          <cell r="B1772" t="str">
            <v>N</v>
          </cell>
          <cell r="C1772">
            <v>26.94</v>
          </cell>
        </row>
        <row r="1773">
          <cell r="A1773" t="str">
            <v>LAF1903</v>
          </cell>
          <cell r="B1773" t="str">
            <v>D</v>
          </cell>
          <cell r="C1773">
            <v>22.75</v>
          </cell>
        </row>
        <row r="1774">
          <cell r="A1774" t="str">
            <v>LAF1904</v>
          </cell>
          <cell r="B1774" t="str">
            <v>D</v>
          </cell>
          <cell r="C1774">
            <v>73.19</v>
          </cell>
        </row>
        <row r="1775">
          <cell r="A1775" t="str">
            <v>LAF1905</v>
          </cell>
          <cell r="B1775" t="str">
            <v>D</v>
          </cell>
          <cell r="C1775">
            <v>82</v>
          </cell>
        </row>
        <row r="1776">
          <cell r="A1776" t="str">
            <v>LAF1907</v>
          </cell>
          <cell r="B1776" t="str">
            <v>D</v>
          </cell>
          <cell r="C1776">
            <v>28.16</v>
          </cell>
        </row>
        <row r="1777">
          <cell r="A1777" t="str">
            <v>LAF1909</v>
          </cell>
          <cell r="B1777" t="str">
            <v>D</v>
          </cell>
          <cell r="C1777">
            <v>16.690000000000001</v>
          </cell>
        </row>
        <row r="1778">
          <cell r="A1778" t="str">
            <v>LAF1910</v>
          </cell>
          <cell r="B1778" t="str">
            <v>D</v>
          </cell>
          <cell r="C1778">
            <v>35.840000000000003</v>
          </cell>
        </row>
        <row r="1779">
          <cell r="A1779" t="str">
            <v>LAF1913</v>
          </cell>
          <cell r="B1779" t="str">
            <v>D</v>
          </cell>
          <cell r="C1779">
            <v>23.95</v>
          </cell>
        </row>
        <row r="1780">
          <cell r="A1780" t="str">
            <v>LAF1915</v>
          </cell>
          <cell r="B1780" t="str">
            <v>D</v>
          </cell>
          <cell r="C1780">
            <v>20.37</v>
          </cell>
        </row>
        <row r="1781">
          <cell r="A1781" t="str">
            <v>LAF1917</v>
          </cell>
          <cell r="B1781" t="str">
            <v>D</v>
          </cell>
          <cell r="C1781">
            <v>43.96</v>
          </cell>
        </row>
        <row r="1782">
          <cell r="A1782" t="str">
            <v>LAF1918</v>
          </cell>
          <cell r="B1782" t="str">
            <v>D</v>
          </cell>
          <cell r="C1782">
            <v>14.54</v>
          </cell>
        </row>
        <row r="1783">
          <cell r="A1783" t="str">
            <v>LAF1921</v>
          </cell>
          <cell r="B1783" t="str">
            <v>D</v>
          </cell>
          <cell r="C1783">
            <v>43.6</v>
          </cell>
        </row>
        <row r="1784">
          <cell r="A1784" t="str">
            <v>LAF1922</v>
          </cell>
          <cell r="B1784" t="str">
            <v>D</v>
          </cell>
          <cell r="C1784">
            <v>33.49</v>
          </cell>
        </row>
        <row r="1785">
          <cell r="A1785" t="str">
            <v>LAF1923</v>
          </cell>
          <cell r="B1785" t="str">
            <v>D</v>
          </cell>
          <cell r="C1785">
            <v>32.950000000000003</v>
          </cell>
        </row>
        <row r="1786">
          <cell r="A1786" t="str">
            <v>LAF1924</v>
          </cell>
          <cell r="B1786" t="str">
            <v>D</v>
          </cell>
          <cell r="C1786">
            <v>53.44</v>
          </cell>
        </row>
        <row r="1787">
          <cell r="A1787" t="str">
            <v>LAF1930</v>
          </cell>
          <cell r="B1787" t="str">
            <v>D</v>
          </cell>
          <cell r="C1787">
            <v>38.94</v>
          </cell>
        </row>
        <row r="1788">
          <cell r="A1788" t="str">
            <v>LAF1931</v>
          </cell>
          <cell r="B1788" t="str">
            <v>D</v>
          </cell>
          <cell r="C1788">
            <v>51.61</v>
          </cell>
        </row>
        <row r="1789">
          <cell r="A1789" t="str">
            <v>LAF1933</v>
          </cell>
          <cell r="B1789" t="str">
            <v>D</v>
          </cell>
          <cell r="C1789">
            <v>25.94</v>
          </cell>
        </row>
        <row r="1790">
          <cell r="A1790" t="str">
            <v>LAF1934</v>
          </cell>
          <cell r="B1790" t="str">
            <v>B</v>
          </cell>
          <cell r="C1790">
            <v>136.34</v>
          </cell>
        </row>
        <row r="1791">
          <cell r="A1791" t="str">
            <v>LAF1935</v>
          </cell>
          <cell r="B1791" t="str">
            <v>D</v>
          </cell>
          <cell r="C1791">
            <v>70.94</v>
          </cell>
        </row>
        <row r="1792">
          <cell r="A1792" t="str">
            <v>LAF1936</v>
          </cell>
          <cell r="B1792" t="str">
            <v>D</v>
          </cell>
          <cell r="C1792">
            <v>57.02</v>
          </cell>
        </row>
        <row r="1793">
          <cell r="A1793" t="str">
            <v>LAF1937</v>
          </cell>
          <cell r="B1793" t="str">
            <v>D</v>
          </cell>
          <cell r="C1793">
            <v>91.85</v>
          </cell>
        </row>
        <row r="1794">
          <cell r="A1794" t="str">
            <v>LAF1939</v>
          </cell>
          <cell r="B1794" t="str">
            <v>D</v>
          </cell>
          <cell r="C1794">
            <v>39.76</v>
          </cell>
        </row>
        <row r="1795">
          <cell r="A1795" t="str">
            <v>LAF1940</v>
          </cell>
          <cell r="B1795" t="str">
            <v>D</v>
          </cell>
          <cell r="C1795">
            <v>32.61</v>
          </cell>
        </row>
        <row r="1796">
          <cell r="A1796" t="str">
            <v>LAF1946</v>
          </cell>
          <cell r="B1796" t="str">
            <v>D</v>
          </cell>
          <cell r="C1796">
            <v>58.89</v>
          </cell>
        </row>
        <row r="1797">
          <cell r="A1797" t="str">
            <v>LAF1947</v>
          </cell>
          <cell r="B1797" t="str">
            <v>D</v>
          </cell>
          <cell r="C1797">
            <v>50.85</v>
          </cell>
        </row>
        <row r="1798">
          <cell r="A1798" t="str">
            <v>LAF1948</v>
          </cell>
          <cell r="B1798" t="str">
            <v>D</v>
          </cell>
          <cell r="C1798">
            <v>26.35</v>
          </cell>
        </row>
        <row r="1799">
          <cell r="A1799" t="str">
            <v>LAF1949</v>
          </cell>
          <cell r="B1799" t="str">
            <v>D</v>
          </cell>
          <cell r="C1799">
            <v>30.69</v>
          </cell>
        </row>
        <row r="1800">
          <cell r="A1800" t="str">
            <v>LAF1950</v>
          </cell>
          <cell r="B1800" t="str">
            <v>D</v>
          </cell>
          <cell r="C1800">
            <v>34.33</v>
          </cell>
        </row>
        <row r="1801">
          <cell r="A1801" t="str">
            <v>LAF1951</v>
          </cell>
          <cell r="B1801" t="str">
            <v>D</v>
          </cell>
          <cell r="C1801">
            <v>22.52</v>
          </cell>
        </row>
        <row r="1802">
          <cell r="A1802" t="str">
            <v>LAF1952</v>
          </cell>
          <cell r="B1802" t="str">
            <v>D</v>
          </cell>
          <cell r="C1802">
            <v>33.19</v>
          </cell>
        </row>
        <row r="1803">
          <cell r="A1803" t="str">
            <v>LAF1953</v>
          </cell>
          <cell r="B1803" t="str">
            <v>B</v>
          </cell>
          <cell r="C1803">
            <v>65.23</v>
          </cell>
        </row>
        <row r="1804">
          <cell r="A1804" t="str">
            <v>LAF1953MXM</v>
          </cell>
          <cell r="B1804" t="str">
            <v>N</v>
          </cell>
          <cell r="C1804">
            <v>104.23</v>
          </cell>
        </row>
        <row r="1805">
          <cell r="A1805" t="str">
            <v>LAF1955</v>
          </cell>
          <cell r="B1805" t="str">
            <v>D</v>
          </cell>
          <cell r="C1805">
            <v>119.23</v>
          </cell>
        </row>
        <row r="1806">
          <cell r="A1806" t="str">
            <v>LAF1956</v>
          </cell>
          <cell r="B1806" t="str">
            <v>C</v>
          </cell>
          <cell r="C1806">
            <v>60.88</v>
          </cell>
        </row>
        <row r="1807">
          <cell r="A1807" t="str">
            <v>LAF1957</v>
          </cell>
          <cell r="B1807" t="str">
            <v>D</v>
          </cell>
          <cell r="C1807">
            <v>29.66</v>
          </cell>
        </row>
        <row r="1808">
          <cell r="A1808" t="str">
            <v>LAF1959</v>
          </cell>
          <cell r="B1808" t="str">
            <v>D</v>
          </cell>
          <cell r="C1808">
            <v>77.069999999999993</v>
          </cell>
        </row>
        <row r="1809">
          <cell r="A1809" t="str">
            <v>LAF1961</v>
          </cell>
          <cell r="B1809" t="str">
            <v>D</v>
          </cell>
          <cell r="C1809">
            <v>22.67</v>
          </cell>
        </row>
        <row r="1810">
          <cell r="A1810" t="str">
            <v>LAF1962</v>
          </cell>
          <cell r="B1810" t="str">
            <v>N</v>
          </cell>
          <cell r="C1810">
            <v>24.01</v>
          </cell>
        </row>
        <row r="1811">
          <cell r="A1811" t="str">
            <v>LAF1963</v>
          </cell>
          <cell r="B1811" t="str">
            <v>D</v>
          </cell>
          <cell r="C1811">
            <v>61.61</v>
          </cell>
        </row>
        <row r="1812">
          <cell r="A1812" t="str">
            <v>LAF1964</v>
          </cell>
          <cell r="B1812" t="str">
            <v>C</v>
          </cell>
          <cell r="C1812">
            <v>75.38</v>
          </cell>
        </row>
        <row r="1813">
          <cell r="A1813" t="str">
            <v>LAF1965</v>
          </cell>
          <cell r="B1813" t="str">
            <v>D</v>
          </cell>
          <cell r="C1813">
            <v>32.35</v>
          </cell>
        </row>
        <row r="1814">
          <cell r="A1814" t="str">
            <v>LAF1966</v>
          </cell>
          <cell r="B1814" t="str">
            <v>D</v>
          </cell>
          <cell r="C1814">
            <v>46.85</v>
          </cell>
        </row>
        <row r="1815">
          <cell r="A1815" t="str">
            <v>LAF1967</v>
          </cell>
          <cell r="B1815" t="str">
            <v>D</v>
          </cell>
          <cell r="C1815">
            <v>44.49</v>
          </cell>
        </row>
        <row r="1816">
          <cell r="A1816" t="str">
            <v>LAF1968</v>
          </cell>
          <cell r="B1816" t="str">
            <v>D</v>
          </cell>
          <cell r="C1816">
            <v>19.41</v>
          </cell>
        </row>
        <row r="1817">
          <cell r="A1817" t="str">
            <v>LAF1969</v>
          </cell>
          <cell r="B1817" t="str">
            <v>D</v>
          </cell>
          <cell r="C1817">
            <v>32.72</v>
          </cell>
        </row>
        <row r="1818">
          <cell r="A1818" t="str">
            <v>LAF1971</v>
          </cell>
          <cell r="B1818" t="str">
            <v>D</v>
          </cell>
          <cell r="C1818">
            <v>28.59</v>
          </cell>
        </row>
        <row r="1819">
          <cell r="A1819" t="str">
            <v>LAF1973</v>
          </cell>
          <cell r="B1819" t="str">
            <v>D</v>
          </cell>
          <cell r="C1819">
            <v>29.7</v>
          </cell>
        </row>
        <row r="1820">
          <cell r="A1820" t="str">
            <v>LAF1974</v>
          </cell>
          <cell r="B1820" t="str">
            <v>D</v>
          </cell>
          <cell r="C1820">
            <v>24.05</v>
          </cell>
        </row>
        <row r="1821">
          <cell r="A1821" t="str">
            <v>LAF1975</v>
          </cell>
          <cell r="B1821" t="str">
            <v>D</v>
          </cell>
          <cell r="C1821">
            <v>207.49</v>
          </cell>
        </row>
        <row r="1822">
          <cell r="A1822" t="str">
            <v>LAF1976</v>
          </cell>
          <cell r="B1822" t="str">
            <v>D</v>
          </cell>
          <cell r="C1822">
            <v>54.72</v>
          </cell>
        </row>
        <row r="1823">
          <cell r="A1823" t="str">
            <v>LAF1977</v>
          </cell>
          <cell r="B1823" t="str">
            <v>D</v>
          </cell>
          <cell r="C1823">
            <v>26.56</v>
          </cell>
        </row>
        <row r="1824">
          <cell r="A1824" t="str">
            <v>LAF1978</v>
          </cell>
          <cell r="B1824" t="str">
            <v>D</v>
          </cell>
          <cell r="C1824">
            <v>41.49</v>
          </cell>
        </row>
        <row r="1825">
          <cell r="A1825" t="str">
            <v>LAF1979</v>
          </cell>
          <cell r="B1825" t="str">
            <v>D</v>
          </cell>
          <cell r="C1825">
            <v>40.659999999999997</v>
          </cell>
        </row>
        <row r="1826">
          <cell r="A1826" t="str">
            <v>LAF1980</v>
          </cell>
          <cell r="B1826" t="str">
            <v>D</v>
          </cell>
          <cell r="C1826">
            <v>26.87</v>
          </cell>
        </row>
        <row r="1827">
          <cell r="A1827" t="str">
            <v>LAF1983</v>
          </cell>
          <cell r="B1827" t="str">
            <v>D</v>
          </cell>
          <cell r="C1827">
            <v>37.200000000000003</v>
          </cell>
        </row>
        <row r="1828">
          <cell r="A1828" t="str">
            <v>LAF1984</v>
          </cell>
          <cell r="B1828" t="str">
            <v>D</v>
          </cell>
          <cell r="C1828">
            <v>67.45</v>
          </cell>
        </row>
        <row r="1829">
          <cell r="A1829" t="str">
            <v>LAF1986</v>
          </cell>
          <cell r="B1829" t="str">
            <v>D</v>
          </cell>
          <cell r="C1829">
            <v>52.81</v>
          </cell>
        </row>
        <row r="1830">
          <cell r="A1830" t="str">
            <v>LAF1987</v>
          </cell>
          <cell r="B1830" t="str">
            <v>D</v>
          </cell>
          <cell r="C1830">
            <v>47.19</v>
          </cell>
        </row>
        <row r="1831">
          <cell r="A1831" t="str">
            <v>LAF1988</v>
          </cell>
          <cell r="B1831" t="str">
            <v>D</v>
          </cell>
          <cell r="C1831">
            <v>9.19</v>
          </cell>
        </row>
        <row r="1832">
          <cell r="A1832" t="str">
            <v>LAF1989</v>
          </cell>
          <cell r="B1832" t="str">
            <v>D</v>
          </cell>
          <cell r="C1832">
            <v>17.149999999999999</v>
          </cell>
        </row>
        <row r="1833">
          <cell r="A1833" t="str">
            <v>LAF1990</v>
          </cell>
          <cell r="B1833" t="str">
            <v>D</v>
          </cell>
          <cell r="C1833">
            <v>69.22</v>
          </cell>
        </row>
        <row r="1834">
          <cell r="A1834" t="str">
            <v>LAF1991</v>
          </cell>
          <cell r="B1834" t="str">
            <v>D</v>
          </cell>
          <cell r="C1834">
            <v>80.319999999999993</v>
          </cell>
        </row>
        <row r="1835">
          <cell r="A1835" t="str">
            <v>LAF1992</v>
          </cell>
          <cell r="B1835" t="str">
            <v>D</v>
          </cell>
          <cell r="C1835">
            <v>93.72</v>
          </cell>
        </row>
        <row r="1836">
          <cell r="A1836" t="str">
            <v>LAF1996</v>
          </cell>
          <cell r="B1836" t="str">
            <v>D</v>
          </cell>
          <cell r="C1836">
            <v>60.52</v>
          </cell>
        </row>
        <row r="1837">
          <cell r="A1837" t="str">
            <v>LAF1997</v>
          </cell>
          <cell r="B1837" t="str">
            <v>D</v>
          </cell>
          <cell r="C1837">
            <v>53.28</v>
          </cell>
        </row>
        <row r="1838">
          <cell r="A1838" t="str">
            <v>LAF1998</v>
          </cell>
          <cell r="B1838" t="str">
            <v>D</v>
          </cell>
          <cell r="C1838">
            <v>53.74</v>
          </cell>
        </row>
        <row r="1839">
          <cell r="A1839" t="str">
            <v>LAF1999</v>
          </cell>
          <cell r="B1839" t="str">
            <v>D</v>
          </cell>
          <cell r="C1839">
            <v>54.71</v>
          </cell>
        </row>
        <row r="1840">
          <cell r="A1840" t="str">
            <v>LFP2000C</v>
          </cell>
          <cell r="B1840" t="str">
            <v>C</v>
          </cell>
          <cell r="C1840">
            <v>60.29</v>
          </cell>
        </row>
        <row r="1841">
          <cell r="A1841" t="str">
            <v>LFP2000K</v>
          </cell>
          <cell r="B1841" t="str">
            <v>D</v>
          </cell>
          <cell r="C1841">
            <v>112.04</v>
          </cell>
        </row>
        <row r="1842">
          <cell r="A1842" t="str">
            <v>LMB2000</v>
          </cell>
          <cell r="B1842" t="str">
            <v>D</v>
          </cell>
          <cell r="C1842">
            <v>52.95</v>
          </cell>
        </row>
        <row r="1843">
          <cell r="A1843" t="str">
            <v>PH2005</v>
          </cell>
          <cell r="B1843" t="str">
            <v>B</v>
          </cell>
          <cell r="C1843">
            <v>10.01</v>
          </cell>
        </row>
        <row r="1844">
          <cell r="A1844" t="str">
            <v>PH2008</v>
          </cell>
          <cell r="B1844" t="str">
            <v>D</v>
          </cell>
          <cell r="C1844">
            <v>11.85</v>
          </cell>
        </row>
        <row r="1845">
          <cell r="A1845" t="str">
            <v>PH2009</v>
          </cell>
          <cell r="B1845" t="str">
            <v>D</v>
          </cell>
          <cell r="C1845">
            <v>9.76</v>
          </cell>
        </row>
        <row r="1846">
          <cell r="A1846" t="str">
            <v>AF2014</v>
          </cell>
          <cell r="B1846" t="str">
            <v>B</v>
          </cell>
          <cell r="C1846">
            <v>26.46</v>
          </cell>
        </row>
        <row r="1847">
          <cell r="A1847" t="str">
            <v>LP2017</v>
          </cell>
          <cell r="B1847" t="str">
            <v>A</v>
          </cell>
          <cell r="C1847">
            <v>17.239999999999998</v>
          </cell>
        </row>
        <row r="1848">
          <cell r="A1848" t="str">
            <v>LP2017CAPT</v>
          </cell>
          <cell r="B1848" t="str">
            <v>D</v>
          </cell>
          <cell r="C1848">
            <v>25.08</v>
          </cell>
        </row>
        <row r="1849">
          <cell r="A1849" t="str">
            <v>LP2017GASK</v>
          </cell>
          <cell r="B1849" t="str">
            <v>N</v>
          </cell>
          <cell r="C1849">
            <v>18.95</v>
          </cell>
        </row>
        <row r="1850">
          <cell r="A1850" t="str">
            <v>LP2017KITT</v>
          </cell>
          <cell r="B1850" t="str">
            <v>D</v>
          </cell>
          <cell r="C1850">
            <v>27.11</v>
          </cell>
        </row>
        <row r="1851">
          <cell r="A1851" t="str">
            <v>L2020F-30</v>
          </cell>
          <cell r="B1851" t="str">
            <v>D</v>
          </cell>
          <cell r="C1851">
            <v>15.66</v>
          </cell>
        </row>
        <row r="1852">
          <cell r="A1852" t="str">
            <v>L2020FN</v>
          </cell>
          <cell r="B1852" t="str">
            <v>B</v>
          </cell>
          <cell r="C1852">
            <v>26</v>
          </cell>
        </row>
        <row r="1853">
          <cell r="A1853" t="str">
            <v>L2020FN-2</v>
          </cell>
          <cell r="B1853" t="str">
            <v>D</v>
          </cell>
          <cell r="C1853">
            <v>18.579999999999998</v>
          </cell>
        </row>
        <row r="1854">
          <cell r="A1854" t="str">
            <v>L2020FN-30</v>
          </cell>
          <cell r="B1854" t="str">
            <v>D</v>
          </cell>
          <cell r="C1854">
            <v>13.83</v>
          </cell>
        </row>
        <row r="1855">
          <cell r="A1855" t="str">
            <v>LAF2020</v>
          </cell>
          <cell r="B1855" t="str">
            <v>D</v>
          </cell>
          <cell r="C1855">
            <v>51.77</v>
          </cell>
        </row>
        <row r="1856">
          <cell r="A1856" t="str">
            <v>L2021F</v>
          </cell>
          <cell r="B1856" t="str">
            <v>C</v>
          </cell>
          <cell r="C1856">
            <v>9.99</v>
          </cell>
        </row>
        <row r="1857">
          <cell r="A1857" t="str">
            <v>L2021F-30</v>
          </cell>
          <cell r="B1857" t="str">
            <v>D</v>
          </cell>
          <cell r="C1857">
            <v>16.32</v>
          </cell>
        </row>
        <row r="1858">
          <cell r="A1858" t="str">
            <v>LP2029</v>
          </cell>
          <cell r="B1858" t="str">
            <v>D</v>
          </cell>
          <cell r="C1858">
            <v>36.92</v>
          </cell>
        </row>
        <row r="1859">
          <cell r="A1859" t="str">
            <v>LAF2031</v>
          </cell>
          <cell r="B1859" t="str">
            <v>D</v>
          </cell>
          <cell r="C1859">
            <v>34.950000000000003</v>
          </cell>
        </row>
        <row r="1860">
          <cell r="A1860" t="str">
            <v>LAF2032</v>
          </cell>
          <cell r="B1860" t="str">
            <v>C</v>
          </cell>
          <cell r="C1860">
            <v>34.950000000000003</v>
          </cell>
        </row>
        <row r="1861">
          <cell r="A1861" t="str">
            <v>LFF2040</v>
          </cell>
          <cell r="B1861" t="str">
            <v>D</v>
          </cell>
          <cell r="C1861">
            <v>12.28</v>
          </cell>
        </row>
        <row r="1862">
          <cell r="A1862" t="str">
            <v>LFF2040N</v>
          </cell>
          <cell r="B1862" t="str">
            <v>D</v>
          </cell>
          <cell r="C1862">
            <v>19.7</v>
          </cell>
        </row>
        <row r="1863">
          <cell r="A1863" t="str">
            <v>LFP2050</v>
          </cell>
          <cell r="B1863" t="str">
            <v>C</v>
          </cell>
          <cell r="C1863">
            <v>27.52</v>
          </cell>
        </row>
        <row r="1864">
          <cell r="A1864" t="str">
            <v>LFP2051</v>
          </cell>
          <cell r="B1864" t="str">
            <v>B</v>
          </cell>
          <cell r="C1864">
            <v>21.7</v>
          </cell>
        </row>
        <row r="1865">
          <cell r="A1865" t="str">
            <v>LAF2052</v>
          </cell>
          <cell r="B1865" t="str">
            <v>D</v>
          </cell>
          <cell r="C1865">
            <v>56.2</v>
          </cell>
        </row>
        <row r="1866">
          <cell r="A1866" t="str">
            <v>LFW2055</v>
          </cell>
          <cell r="B1866" t="str">
            <v>D</v>
          </cell>
          <cell r="C1866">
            <v>26.7</v>
          </cell>
        </row>
        <row r="1867">
          <cell r="A1867" t="str">
            <v>LAF2069</v>
          </cell>
          <cell r="B1867" t="str">
            <v>D</v>
          </cell>
          <cell r="C1867">
            <v>169.39</v>
          </cell>
        </row>
        <row r="1868">
          <cell r="A1868">
            <v>2072</v>
          </cell>
          <cell r="B1868" t="str">
            <v>D</v>
          </cell>
          <cell r="C1868">
            <v>26.86</v>
          </cell>
        </row>
        <row r="1869">
          <cell r="A1869" t="str">
            <v>LAF2079</v>
          </cell>
          <cell r="B1869" t="str">
            <v>D</v>
          </cell>
          <cell r="C1869">
            <v>78.66</v>
          </cell>
        </row>
        <row r="1870">
          <cell r="A1870">
            <v>2091</v>
          </cell>
          <cell r="B1870" t="str">
            <v>D</v>
          </cell>
          <cell r="C1870">
            <v>105.7</v>
          </cell>
        </row>
        <row r="1871">
          <cell r="A1871" t="str">
            <v>2091SC</v>
          </cell>
          <cell r="B1871" t="str">
            <v>D</v>
          </cell>
          <cell r="C1871">
            <v>221.81</v>
          </cell>
        </row>
        <row r="1872">
          <cell r="A1872" t="str">
            <v>LAF2100</v>
          </cell>
          <cell r="B1872" t="str">
            <v>B</v>
          </cell>
          <cell r="C1872">
            <v>81.73</v>
          </cell>
        </row>
        <row r="1873">
          <cell r="A1873" t="str">
            <v>LFP2100C</v>
          </cell>
          <cell r="B1873" t="str">
            <v>D</v>
          </cell>
          <cell r="C1873">
            <v>54.01</v>
          </cell>
        </row>
        <row r="1874">
          <cell r="A1874" t="str">
            <v>LFP2100K</v>
          </cell>
          <cell r="B1874" t="str">
            <v>D</v>
          </cell>
          <cell r="C1874">
            <v>106.29</v>
          </cell>
        </row>
        <row r="1875">
          <cell r="A1875">
            <v>2124</v>
          </cell>
          <cell r="B1875" t="str">
            <v>D</v>
          </cell>
          <cell r="C1875">
            <v>50.98</v>
          </cell>
        </row>
        <row r="1876">
          <cell r="A1876">
            <v>21244</v>
          </cell>
          <cell r="B1876" t="str">
            <v>D</v>
          </cell>
          <cell r="C1876">
            <v>85.7</v>
          </cell>
        </row>
        <row r="1877">
          <cell r="A1877">
            <v>21246</v>
          </cell>
          <cell r="B1877" t="str">
            <v>D</v>
          </cell>
          <cell r="C1877">
            <v>85.4</v>
          </cell>
        </row>
        <row r="1878">
          <cell r="A1878" t="str">
            <v>LFW2125</v>
          </cell>
          <cell r="B1878" t="str">
            <v>D</v>
          </cell>
          <cell r="C1878">
            <v>194.47</v>
          </cell>
        </row>
        <row r="1879">
          <cell r="A1879">
            <v>2126</v>
          </cell>
          <cell r="B1879" t="str">
            <v>D</v>
          </cell>
          <cell r="C1879">
            <v>524.63</v>
          </cell>
        </row>
        <row r="1880">
          <cell r="A1880" t="str">
            <v>LFW2126</v>
          </cell>
          <cell r="B1880" t="str">
            <v>B</v>
          </cell>
          <cell r="C1880">
            <v>62.51</v>
          </cell>
        </row>
        <row r="1881">
          <cell r="A1881" t="str">
            <v>LFW2127</v>
          </cell>
          <cell r="B1881" t="str">
            <v>A</v>
          </cell>
          <cell r="C1881">
            <v>40.85</v>
          </cell>
        </row>
        <row r="1882">
          <cell r="A1882" t="str">
            <v>P2129</v>
          </cell>
          <cell r="B1882" t="str">
            <v>C</v>
          </cell>
          <cell r="C1882">
            <v>4.6500000000000004</v>
          </cell>
        </row>
        <row r="1883">
          <cell r="A1883">
            <v>2139</v>
          </cell>
          <cell r="B1883" t="str">
            <v>D</v>
          </cell>
          <cell r="C1883">
            <v>3.13</v>
          </cell>
        </row>
        <row r="1884">
          <cell r="A1884">
            <v>2141</v>
          </cell>
          <cell r="B1884" t="str">
            <v>D</v>
          </cell>
          <cell r="C1884">
            <v>574.5</v>
          </cell>
        </row>
        <row r="1885">
          <cell r="A1885">
            <v>2142</v>
          </cell>
          <cell r="B1885" t="str">
            <v>D</v>
          </cell>
          <cell r="C1885">
            <v>3095.19</v>
          </cell>
        </row>
        <row r="1886">
          <cell r="A1886">
            <v>2143</v>
          </cell>
          <cell r="B1886" t="str">
            <v>D</v>
          </cell>
          <cell r="C1886">
            <v>2997.85</v>
          </cell>
        </row>
        <row r="1887">
          <cell r="A1887">
            <v>2145</v>
          </cell>
          <cell r="B1887" t="str">
            <v>D</v>
          </cell>
          <cell r="C1887">
            <v>3.58</v>
          </cell>
        </row>
        <row r="1888">
          <cell r="A1888">
            <v>2146</v>
          </cell>
          <cell r="B1888" t="str">
            <v>D</v>
          </cell>
          <cell r="C1888">
            <v>5.54</v>
          </cell>
        </row>
        <row r="1889">
          <cell r="A1889" t="str">
            <v>LFP2160</v>
          </cell>
          <cell r="B1889" t="str">
            <v>A</v>
          </cell>
          <cell r="C1889">
            <v>15.75</v>
          </cell>
        </row>
        <row r="1890">
          <cell r="A1890" t="str">
            <v>LFP2160TRT</v>
          </cell>
          <cell r="B1890" t="str">
            <v>D</v>
          </cell>
          <cell r="C1890">
            <v>57.2</v>
          </cell>
        </row>
        <row r="1891">
          <cell r="A1891" t="str">
            <v>LFP2160XL</v>
          </cell>
          <cell r="B1891" t="str">
            <v>C</v>
          </cell>
          <cell r="C1891">
            <v>43.98</v>
          </cell>
        </row>
        <row r="1892">
          <cell r="A1892">
            <v>2162</v>
          </cell>
          <cell r="B1892" t="str">
            <v>D</v>
          </cell>
          <cell r="C1892">
            <v>188.26</v>
          </cell>
        </row>
        <row r="1893">
          <cell r="A1893" t="str">
            <v>2162SC</v>
          </cell>
          <cell r="B1893" t="str">
            <v>D</v>
          </cell>
          <cell r="C1893">
            <v>195.39</v>
          </cell>
        </row>
        <row r="1894">
          <cell r="A1894" t="str">
            <v>LAF2183A</v>
          </cell>
          <cell r="B1894" t="str">
            <v>D</v>
          </cell>
          <cell r="C1894">
            <v>108.17</v>
          </cell>
        </row>
        <row r="1895">
          <cell r="A1895">
            <v>2188</v>
          </cell>
          <cell r="B1895" t="str">
            <v>D</v>
          </cell>
          <cell r="C1895">
            <v>40.06</v>
          </cell>
        </row>
        <row r="1896">
          <cell r="A1896" t="str">
            <v>LFP2190</v>
          </cell>
          <cell r="B1896" t="str">
            <v>D</v>
          </cell>
          <cell r="C1896">
            <v>23.21</v>
          </cell>
        </row>
        <row r="1897">
          <cell r="A1897" t="str">
            <v>LFP2200C</v>
          </cell>
          <cell r="B1897" t="str">
            <v>D</v>
          </cell>
          <cell r="C1897">
            <v>46.14</v>
          </cell>
        </row>
        <row r="1898">
          <cell r="A1898" t="str">
            <v>LFP2200K</v>
          </cell>
          <cell r="B1898" t="str">
            <v>D</v>
          </cell>
          <cell r="C1898">
            <v>99.51</v>
          </cell>
        </row>
        <row r="1899">
          <cell r="A1899" t="str">
            <v>LFF2201</v>
          </cell>
          <cell r="B1899" t="str">
            <v>A</v>
          </cell>
          <cell r="C1899">
            <v>26.15</v>
          </cell>
        </row>
        <row r="1900">
          <cell r="A1900" t="str">
            <v>LFF2203</v>
          </cell>
          <cell r="B1900" t="str">
            <v>A</v>
          </cell>
          <cell r="C1900">
            <v>19.600000000000001</v>
          </cell>
        </row>
        <row r="1901">
          <cell r="A1901">
            <v>2205</v>
          </cell>
          <cell r="B1901" t="str">
            <v>D</v>
          </cell>
          <cell r="C1901">
            <v>18.34</v>
          </cell>
        </row>
        <row r="1902">
          <cell r="A1902">
            <v>2206</v>
          </cell>
          <cell r="B1902" t="str">
            <v>D</v>
          </cell>
          <cell r="C1902">
            <v>18.47</v>
          </cell>
        </row>
        <row r="1903">
          <cell r="A1903" t="str">
            <v>LP2210</v>
          </cell>
          <cell r="B1903" t="str">
            <v>D</v>
          </cell>
          <cell r="C1903">
            <v>18.03</v>
          </cell>
        </row>
        <row r="1904">
          <cell r="A1904" t="str">
            <v>LP2211</v>
          </cell>
          <cell r="B1904" t="str">
            <v>D</v>
          </cell>
          <cell r="C1904">
            <v>26.05</v>
          </cell>
        </row>
        <row r="1905">
          <cell r="A1905" t="str">
            <v>LP2212</v>
          </cell>
          <cell r="B1905" t="str">
            <v>D</v>
          </cell>
          <cell r="C1905">
            <v>11.43</v>
          </cell>
        </row>
        <row r="1906">
          <cell r="A1906" t="str">
            <v>LFP2213</v>
          </cell>
          <cell r="B1906" t="str">
            <v>D</v>
          </cell>
          <cell r="C1906">
            <v>9.64</v>
          </cell>
        </row>
        <row r="1907">
          <cell r="A1907" t="str">
            <v>LP2214</v>
          </cell>
          <cell r="B1907" t="str">
            <v>D</v>
          </cell>
          <cell r="C1907">
            <v>19.59</v>
          </cell>
        </row>
        <row r="1908">
          <cell r="A1908" t="str">
            <v>LP2214N</v>
          </cell>
          <cell r="B1908" t="str">
            <v>D</v>
          </cell>
          <cell r="C1908">
            <v>23.88</v>
          </cell>
        </row>
        <row r="1909">
          <cell r="A1909" t="str">
            <v>LP2214X</v>
          </cell>
          <cell r="B1909" t="str">
            <v>N</v>
          </cell>
          <cell r="C1909">
            <v>22.33</v>
          </cell>
        </row>
        <row r="1910">
          <cell r="A1910" t="str">
            <v>LFP2215</v>
          </cell>
          <cell r="B1910" t="str">
            <v>D</v>
          </cell>
          <cell r="C1910">
            <v>10.09</v>
          </cell>
        </row>
        <row r="1911">
          <cell r="A1911" t="str">
            <v>LP2217</v>
          </cell>
          <cell r="B1911" t="str">
            <v>D</v>
          </cell>
          <cell r="C1911">
            <v>36.26</v>
          </cell>
        </row>
        <row r="1912">
          <cell r="A1912" t="str">
            <v>LP2218</v>
          </cell>
          <cell r="B1912" t="str">
            <v>D</v>
          </cell>
          <cell r="C1912">
            <v>22.77</v>
          </cell>
        </row>
        <row r="1913">
          <cell r="A1913" t="str">
            <v>LP2219</v>
          </cell>
          <cell r="B1913" t="str">
            <v>D</v>
          </cell>
          <cell r="C1913">
            <v>22.46</v>
          </cell>
        </row>
        <row r="1914">
          <cell r="A1914" t="str">
            <v>LP2220</v>
          </cell>
          <cell r="B1914" t="str">
            <v>D</v>
          </cell>
          <cell r="C1914">
            <v>19.7</v>
          </cell>
        </row>
        <row r="1915">
          <cell r="A1915" t="str">
            <v>LP2220N</v>
          </cell>
          <cell r="B1915" t="str">
            <v>D</v>
          </cell>
          <cell r="C1915">
            <v>27.83</v>
          </cell>
        </row>
        <row r="1916">
          <cell r="A1916" t="str">
            <v>LP2220X</v>
          </cell>
          <cell r="B1916" t="str">
            <v>D</v>
          </cell>
          <cell r="C1916">
            <v>23.51</v>
          </cell>
        </row>
        <row r="1917">
          <cell r="A1917" t="str">
            <v>LP2220Z</v>
          </cell>
          <cell r="B1917" t="str">
            <v>D</v>
          </cell>
          <cell r="C1917">
            <v>41.8</v>
          </cell>
        </row>
        <row r="1918">
          <cell r="A1918" t="str">
            <v>LFP2221</v>
          </cell>
          <cell r="B1918" t="str">
            <v>C</v>
          </cell>
          <cell r="C1918">
            <v>8.08</v>
          </cell>
        </row>
        <row r="1919">
          <cell r="A1919" t="str">
            <v>LFP2222</v>
          </cell>
          <cell r="B1919" t="str">
            <v>B</v>
          </cell>
          <cell r="C1919">
            <v>12.42</v>
          </cell>
        </row>
        <row r="1920">
          <cell r="A1920" t="str">
            <v>P2224</v>
          </cell>
          <cell r="B1920" t="str">
            <v>D</v>
          </cell>
          <cell r="C1920">
            <v>7.63</v>
          </cell>
        </row>
        <row r="1921">
          <cell r="A1921" t="str">
            <v>LP2225</v>
          </cell>
          <cell r="B1921" t="str">
            <v>D</v>
          </cell>
          <cell r="C1921">
            <v>17.010000000000002</v>
          </cell>
        </row>
        <row r="1922">
          <cell r="A1922" t="str">
            <v>LP2226</v>
          </cell>
          <cell r="B1922" t="str">
            <v>D</v>
          </cell>
          <cell r="C1922">
            <v>81.69</v>
          </cell>
        </row>
        <row r="1923">
          <cell r="A1923" t="str">
            <v>LP2228</v>
          </cell>
          <cell r="B1923" t="str">
            <v>D</v>
          </cell>
          <cell r="C1923">
            <v>22.31</v>
          </cell>
        </row>
        <row r="1924">
          <cell r="A1924" t="str">
            <v>LFP2229</v>
          </cell>
          <cell r="B1924" t="str">
            <v>D</v>
          </cell>
          <cell r="C1924">
            <v>16.309999999999999</v>
          </cell>
        </row>
        <row r="1925">
          <cell r="A1925" t="str">
            <v>LFP2230</v>
          </cell>
          <cell r="B1925" t="str">
            <v>D</v>
          </cell>
          <cell r="C1925">
            <v>13.9</v>
          </cell>
        </row>
        <row r="1926">
          <cell r="A1926">
            <v>2232</v>
          </cell>
          <cell r="B1926" t="str">
            <v>D</v>
          </cell>
          <cell r="C1926">
            <v>52.62</v>
          </cell>
        </row>
        <row r="1927">
          <cell r="A1927" t="str">
            <v>LP2232</v>
          </cell>
          <cell r="B1927" t="str">
            <v>B</v>
          </cell>
          <cell r="C1927">
            <v>21.34</v>
          </cell>
        </row>
        <row r="1928">
          <cell r="A1928">
            <v>2233</v>
          </cell>
          <cell r="B1928" t="str">
            <v>D</v>
          </cell>
          <cell r="C1928">
            <v>65.989999999999995</v>
          </cell>
        </row>
        <row r="1929">
          <cell r="A1929" t="str">
            <v>LFP2234</v>
          </cell>
          <cell r="B1929" t="str">
            <v>C</v>
          </cell>
          <cell r="C1929">
            <v>11.94</v>
          </cell>
        </row>
        <row r="1930">
          <cell r="A1930" t="str">
            <v>LP2235</v>
          </cell>
          <cell r="B1930" t="str">
            <v>C</v>
          </cell>
          <cell r="C1930">
            <v>27.74</v>
          </cell>
        </row>
        <row r="1931">
          <cell r="A1931">
            <v>2236</v>
          </cell>
          <cell r="B1931" t="str">
            <v>D</v>
          </cell>
          <cell r="C1931">
            <v>6.15</v>
          </cell>
        </row>
        <row r="1932">
          <cell r="A1932" t="str">
            <v>LP2237</v>
          </cell>
          <cell r="B1932" t="str">
            <v>D</v>
          </cell>
          <cell r="C1932">
            <v>23.2</v>
          </cell>
        </row>
        <row r="1933">
          <cell r="A1933" t="str">
            <v>LFP2238</v>
          </cell>
          <cell r="B1933" t="str">
            <v>C</v>
          </cell>
          <cell r="C1933">
            <v>10.7</v>
          </cell>
        </row>
        <row r="1934">
          <cell r="A1934" t="str">
            <v>LFP2241</v>
          </cell>
          <cell r="B1934" t="str">
            <v>D</v>
          </cell>
          <cell r="C1934">
            <v>34.340000000000003</v>
          </cell>
        </row>
        <row r="1935">
          <cell r="A1935" t="str">
            <v>LP2243</v>
          </cell>
          <cell r="B1935" t="str">
            <v>C</v>
          </cell>
          <cell r="C1935">
            <v>31.79</v>
          </cell>
        </row>
        <row r="1936">
          <cell r="A1936" t="str">
            <v>LFP2244</v>
          </cell>
          <cell r="B1936" t="str">
            <v>B</v>
          </cell>
          <cell r="C1936">
            <v>17.59</v>
          </cell>
        </row>
        <row r="1937">
          <cell r="A1937" t="str">
            <v>LP2246</v>
          </cell>
          <cell r="B1937" t="str">
            <v>D</v>
          </cell>
          <cell r="C1937">
            <v>21.51</v>
          </cell>
        </row>
        <row r="1938">
          <cell r="A1938" t="str">
            <v>LP2247</v>
          </cell>
          <cell r="B1938" t="str">
            <v>C</v>
          </cell>
          <cell r="C1938">
            <v>37.049999999999997</v>
          </cell>
        </row>
        <row r="1939">
          <cell r="A1939" t="str">
            <v>LFP2248</v>
          </cell>
          <cell r="B1939" t="str">
            <v>D</v>
          </cell>
          <cell r="C1939">
            <v>21.56</v>
          </cell>
        </row>
        <row r="1940">
          <cell r="A1940" t="str">
            <v>LFP2248SC</v>
          </cell>
          <cell r="B1940" t="str">
            <v>D</v>
          </cell>
          <cell r="C1940">
            <v>40.18</v>
          </cell>
        </row>
        <row r="1941">
          <cell r="A1941" t="str">
            <v>LP2249</v>
          </cell>
          <cell r="B1941" t="str">
            <v>D</v>
          </cell>
          <cell r="C1941">
            <v>38.78</v>
          </cell>
        </row>
        <row r="1942">
          <cell r="A1942" t="str">
            <v>LP2250</v>
          </cell>
          <cell r="B1942" t="str">
            <v>D</v>
          </cell>
          <cell r="C1942">
            <v>59.06</v>
          </cell>
        </row>
        <row r="1943">
          <cell r="A1943" t="str">
            <v>LFP2251</v>
          </cell>
          <cell r="B1943" t="str">
            <v>B</v>
          </cell>
          <cell r="C1943">
            <v>18.66</v>
          </cell>
        </row>
        <row r="1944">
          <cell r="A1944">
            <v>2252</v>
          </cell>
          <cell r="B1944" t="str">
            <v>D</v>
          </cell>
          <cell r="C1944">
            <v>218.36</v>
          </cell>
        </row>
        <row r="1945">
          <cell r="A1945" t="str">
            <v>LFP2252</v>
          </cell>
          <cell r="B1945" t="str">
            <v>D</v>
          </cell>
          <cell r="C1945">
            <v>8</v>
          </cell>
        </row>
        <row r="1946">
          <cell r="A1946">
            <v>2253</v>
          </cell>
          <cell r="B1946" t="str">
            <v>D</v>
          </cell>
          <cell r="C1946">
            <v>261.29000000000002</v>
          </cell>
        </row>
        <row r="1947">
          <cell r="A1947" t="str">
            <v>LFP2253</v>
          </cell>
          <cell r="B1947" t="str">
            <v>D</v>
          </cell>
          <cell r="C1947">
            <v>6.1</v>
          </cell>
        </row>
        <row r="1948">
          <cell r="A1948">
            <v>2254</v>
          </cell>
          <cell r="B1948" t="str">
            <v>D</v>
          </cell>
          <cell r="C1948">
            <v>86.56</v>
          </cell>
        </row>
        <row r="1949">
          <cell r="A1949" t="str">
            <v>LP2254</v>
          </cell>
          <cell r="B1949" t="str">
            <v>C</v>
          </cell>
          <cell r="C1949">
            <v>17.39</v>
          </cell>
        </row>
        <row r="1950">
          <cell r="A1950">
            <v>2255</v>
          </cell>
          <cell r="B1950" t="str">
            <v>D</v>
          </cell>
          <cell r="C1950">
            <v>82.11</v>
          </cell>
        </row>
        <row r="1951">
          <cell r="A1951" t="str">
            <v>LFP2255</v>
          </cell>
          <cell r="B1951" t="str">
            <v>D</v>
          </cell>
          <cell r="C1951">
            <v>13.73</v>
          </cell>
        </row>
        <row r="1952">
          <cell r="A1952" t="str">
            <v>LP2256</v>
          </cell>
          <cell r="B1952" t="str">
            <v>D</v>
          </cell>
          <cell r="C1952">
            <v>20.53</v>
          </cell>
        </row>
        <row r="1953">
          <cell r="A1953" t="str">
            <v>LFP2257</v>
          </cell>
          <cell r="B1953" t="str">
            <v>D</v>
          </cell>
          <cell r="C1953">
            <v>17.329999999999998</v>
          </cell>
        </row>
        <row r="1954">
          <cell r="A1954">
            <v>2258</v>
          </cell>
          <cell r="B1954" t="str">
            <v>D</v>
          </cell>
          <cell r="C1954">
            <v>37.72</v>
          </cell>
        </row>
        <row r="1955">
          <cell r="A1955" t="str">
            <v>LFP2258</v>
          </cell>
          <cell r="B1955" t="str">
            <v>D</v>
          </cell>
          <cell r="C1955">
            <v>11.88</v>
          </cell>
        </row>
        <row r="1956">
          <cell r="A1956">
            <v>2259</v>
          </cell>
          <cell r="B1956" t="str">
            <v>D</v>
          </cell>
          <cell r="C1956">
            <v>27.64</v>
          </cell>
        </row>
        <row r="1957">
          <cell r="A1957" t="str">
            <v>LFP2261</v>
          </cell>
          <cell r="B1957" t="str">
            <v>D</v>
          </cell>
          <cell r="C1957">
            <v>8</v>
          </cell>
        </row>
        <row r="1958">
          <cell r="A1958" t="str">
            <v>LFP2262</v>
          </cell>
          <cell r="B1958" t="str">
            <v>D</v>
          </cell>
          <cell r="C1958">
            <v>18.399999999999999</v>
          </cell>
        </row>
        <row r="1959">
          <cell r="A1959" t="str">
            <v>LP2263</v>
          </cell>
          <cell r="B1959" t="str">
            <v>D</v>
          </cell>
          <cell r="C1959">
            <v>23.01</v>
          </cell>
        </row>
        <row r="1960">
          <cell r="A1960" t="str">
            <v>LP2264</v>
          </cell>
          <cell r="B1960" t="str">
            <v>D</v>
          </cell>
          <cell r="C1960">
            <v>20.87</v>
          </cell>
        </row>
        <row r="1961">
          <cell r="A1961" t="str">
            <v>LFP2265</v>
          </cell>
          <cell r="B1961" t="str">
            <v>D</v>
          </cell>
          <cell r="C1961">
            <v>47.74</v>
          </cell>
        </row>
        <row r="1962">
          <cell r="A1962" t="str">
            <v>LP2266</v>
          </cell>
          <cell r="B1962" t="str">
            <v>D</v>
          </cell>
          <cell r="C1962">
            <v>25.72</v>
          </cell>
        </row>
        <row r="1963">
          <cell r="A1963" t="str">
            <v>LFP2267</v>
          </cell>
          <cell r="B1963" t="str">
            <v>D</v>
          </cell>
          <cell r="C1963">
            <v>10.95</v>
          </cell>
        </row>
        <row r="1964">
          <cell r="A1964" t="str">
            <v>LFP2268</v>
          </cell>
          <cell r="B1964" t="str">
            <v>B</v>
          </cell>
          <cell r="C1964">
            <v>17.93</v>
          </cell>
        </row>
        <row r="1965">
          <cell r="A1965" t="str">
            <v>LFP2270</v>
          </cell>
          <cell r="B1965" t="str">
            <v>D</v>
          </cell>
          <cell r="C1965">
            <v>44.23</v>
          </cell>
        </row>
        <row r="1966">
          <cell r="A1966" t="str">
            <v>LFP2271</v>
          </cell>
          <cell r="B1966" t="str">
            <v>D</v>
          </cell>
          <cell r="C1966">
            <v>8.42</v>
          </cell>
        </row>
        <row r="1967">
          <cell r="A1967" t="str">
            <v>LP2272</v>
          </cell>
          <cell r="B1967" t="str">
            <v>D</v>
          </cell>
          <cell r="C1967">
            <v>49.17</v>
          </cell>
        </row>
        <row r="1968">
          <cell r="A1968" t="str">
            <v>LP2273</v>
          </cell>
          <cell r="B1968" t="str">
            <v>C</v>
          </cell>
          <cell r="C1968">
            <v>26.97</v>
          </cell>
        </row>
        <row r="1969">
          <cell r="A1969" t="str">
            <v>LFP2274</v>
          </cell>
          <cell r="B1969" t="str">
            <v>D</v>
          </cell>
          <cell r="C1969">
            <v>12.24</v>
          </cell>
        </row>
        <row r="1970">
          <cell r="A1970" t="str">
            <v>LFP2275</v>
          </cell>
          <cell r="B1970" t="str">
            <v>D</v>
          </cell>
          <cell r="C1970">
            <v>12.76</v>
          </cell>
        </row>
        <row r="1971">
          <cell r="A1971" t="str">
            <v>LP2277</v>
          </cell>
          <cell r="B1971" t="str">
            <v>D</v>
          </cell>
          <cell r="C1971">
            <v>16.62</v>
          </cell>
        </row>
        <row r="1972">
          <cell r="A1972" t="str">
            <v>LP2278</v>
          </cell>
          <cell r="B1972" t="str">
            <v>D</v>
          </cell>
          <cell r="C1972">
            <v>11.64</v>
          </cell>
        </row>
        <row r="1973">
          <cell r="A1973" t="str">
            <v>LP2279</v>
          </cell>
          <cell r="B1973" t="str">
            <v>D</v>
          </cell>
          <cell r="C1973">
            <v>11.93</v>
          </cell>
        </row>
        <row r="1974">
          <cell r="A1974" t="str">
            <v>LP2280</v>
          </cell>
          <cell r="B1974" t="str">
            <v>D</v>
          </cell>
          <cell r="C1974">
            <v>17.3</v>
          </cell>
        </row>
        <row r="1975">
          <cell r="A1975" t="str">
            <v>LFP2285</v>
          </cell>
          <cell r="B1975" t="str">
            <v>A</v>
          </cell>
          <cell r="C1975">
            <v>25.66</v>
          </cell>
        </row>
        <row r="1976">
          <cell r="A1976" t="str">
            <v>LFP2285XL</v>
          </cell>
          <cell r="B1976" t="str">
            <v>D</v>
          </cell>
          <cell r="C1976">
            <v>61.4</v>
          </cell>
        </row>
        <row r="1977">
          <cell r="A1977" t="str">
            <v>LFP2286</v>
          </cell>
          <cell r="B1977" t="str">
            <v>A</v>
          </cell>
          <cell r="C1977">
            <v>15.65</v>
          </cell>
        </row>
        <row r="1978">
          <cell r="A1978" t="str">
            <v>LFP2286XL</v>
          </cell>
          <cell r="B1978" t="str">
            <v>D</v>
          </cell>
          <cell r="C1978">
            <v>53.6</v>
          </cell>
        </row>
        <row r="1979">
          <cell r="A1979" t="str">
            <v>LFP2287</v>
          </cell>
          <cell r="B1979" t="str">
            <v>D</v>
          </cell>
          <cell r="C1979">
            <v>11.45</v>
          </cell>
        </row>
        <row r="1980">
          <cell r="A1980" t="str">
            <v>LFP2292</v>
          </cell>
          <cell r="B1980" t="str">
            <v>B</v>
          </cell>
          <cell r="C1980">
            <v>9.2200000000000006</v>
          </cell>
        </row>
        <row r="1981">
          <cell r="A1981" t="str">
            <v>LFP2294</v>
          </cell>
          <cell r="B1981" t="str">
            <v>D</v>
          </cell>
          <cell r="C1981">
            <v>17.010000000000002</v>
          </cell>
        </row>
        <row r="1982">
          <cell r="A1982" t="str">
            <v>LP2296</v>
          </cell>
          <cell r="B1982" t="str">
            <v>D</v>
          </cell>
          <cell r="C1982">
            <v>41.82</v>
          </cell>
        </row>
        <row r="1983">
          <cell r="A1983">
            <v>2297</v>
          </cell>
          <cell r="B1983" t="str">
            <v>D</v>
          </cell>
          <cell r="C1983">
            <v>63.9</v>
          </cell>
        </row>
        <row r="1984">
          <cell r="A1984" t="str">
            <v>LP2297</v>
          </cell>
          <cell r="B1984" t="str">
            <v>D</v>
          </cell>
          <cell r="C1984">
            <v>58.12</v>
          </cell>
        </row>
        <row r="1985">
          <cell r="A1985">
            <v>2298</v>
          </cell>
          <cell r="B1985" t="str">
            <v>D</v>
          </cell>
          <cell r="C1985">
            <v>76.069999999999993</v>
          </cell>
        </row>
        <row r="1986">
          <cell r="A1986" t="str">
            <v>LP2299</v>
          </cell>
          <cell r="B1986" t="str">
            <v>D</v>
          </cell>
          <cell r="C1986">
            <v>15.45</v>
          </cell>
        </row>
        <row r="1987">
          <cell r="A1987" t="str">
            <v>LFP2300</v>
          </cell>
          <cell r="B1987" t="str">
            <v>D</v>
          </cell>
          <cell r="C1987">
            <v>11.4</v>
          </cell>
        </row>
        <row r="1988">
          <cell r="A1988" t="str">
            <v>LFP2301</v>
          </cell>
          <cell r="B1988" t="str">
            <v>C</v>
          </cell>
          <cell r="C1988">
            <v>18.3</v>
          </cell>
        </row>
        <row r="1989">
          <cell r="A1989" t="str">
            <v>LP2302</v>
          </cell>
          <cell r="B1989" t="str">
            <v>D</v>
          </cell>
          <cell r="C1989">
            <v>49.8</v>
          </cell>
        </row>
        <row r="1990">
          <cell r="A1990" t="str">
            <v>LFP2303</v>
          </cell>
          <cell r="B1990" t="str">
            <v>D</v>
          </cell>
          <cell r="C1990">
            <v>36.909999999999997</v>
          </cell>
        </row>
        <row r="1991">
          <cell r="A1991" t="str">
            <v>LP2307</v>
          </cell>
          <cell r="B1991" t="str">
            <v>D</v>
          </cell>
          <cell r="C1991">
            <v>21.21</v>
          </cell>
        </row>
        <row r="1992">
          <cell r="A1992" t="str">
            <v>LP2309</v>
          </cell>
          <cell r="B1992" t="str">
            <v>D</v>
          </cell>
          <cell r="C1992">
            <v>38.130000000000003</v>
          </cell>
        </row>
        <row r="1993">
          <cell r="A1993" t="str">
            <v>LFP2312</v>
          </cell>
          <cell r="B1993" t="str">
            <v>D</v>
          </cell>
          <cell r="C1993">
            <v>9.24</v>
          </cell>
        </row>
        <row r="1994">
          <cell r="A1994" t="str">
            <v>LP2313</v>
          </cell>
          <cell r="B1994" t="str">
            <v>D</v>
          </cell>
          <cell r="C1994">
            <v>77.2</v>
          </cell>
        </row>
        <row r="1995">
          <cell r="A1995" t="str">
            <v>LP2314</v>
          </cell>
          <cell r="B1995" t="str">
            <v>D</v>
          </cell>
          <cell r="C1995">
            <v>15.96</v>
          </cell>
        </row>
        <row r="1996">
          <cell r="A1996" t="str">
            <v>LP2315</v>
          </cell>
          <cell r="B1996" t="str">
            <v>D</v>
          </cell>
          <cell r="C1996">
            <v>35.380000000000003</v>
          </cell>
        </row>
        <row r="1997">
          <cell r="A1997" t="str">
            <v>LP2316</v>
          </cell>
          <cell r="B1997" t="str">
            <v>D</v>
          </cell>
          <cell r="C1997">
            <v>20.88</v>
          </cell>
        </row>
        <row r="1998">
          <cell r="A1998" t="str">
            <v>LP2318</v>
          </cell>
          <cell r="B1998" t="str">
            <v>D</v>
          </cell>
          <cell r="C1998">
            <v>35.74</v>
          </cell>
        </row>
        <row r="1999">
          <cell r="A1999" t="str">
            <v>LP2320</v>
          </cell>
          <cell r="B1999" t="str">
            <v>D</v>
          </cell>
          <cell r="C1999">
            <v>25.97</v>
          </cell>
        </row>
        <row r="2000">
          <cell r="A2000">
            <v>2322</v>
          </cell>
          <cell r="B2000" t="str">
            <v>D</v>
          </cell>
          <cell r="C2000">
            <v>22.6</v>
          </cell>
        </row>
        <row r="2001">
          <cell r="A2001" t="str">
            <v>LP2323</v>
          </cell>
          <cell r="B2001" t="str">
            <v>D</v>
          </cell>
          <cell r="C2001">
            <v>55</v>
          </cell>
        </row>
        <row r="2002">
          <cell r="A2002" t="str">
            <v>LP2325</v>
          </cell>
          <cell r="B2002" t="str">
            <v>D</v>
          </cell>
          <cell r="C2002">
            <v>33.880000000000003</v>
          </cell>
        </row>
        <row r="2003">
          <cell r="A2003" t="str">
            <v>LP2328</v>
          </cell>
          <cell r="B2003" t="str">
            <v>D</v>
          </cell>
          <cell r="C2003">
            <v>27.4</v>
          </cell>
        </row>
        <row r="2004">
          <cell r="A2004" t="str">
            <v>LP2336</v>
          </cell>
          <cell r="B2004" t="str">
            <v>D</v>
          </cell>
          <cell r="C2004">
            <v>22.05</v>
          </cell>
        </row>
        <row r="2005">
          <cell r="A2005" t="str">
            <v>LAF2338</v>
          </cell>
          <cell r="B2005" t="str">
            <v>D</v>
          </cell>
          <cell r="C2005">
            <v>37.53</v>
          </cell>
        </row>
        <row r="2006">
          <cell r="A2006">
            <v>2340</v>
          </cell>
          <cell r="B2006" t="str">
            <v>D</v>
          </cell>
          <cell r="C2006">
            <v>107.23</v>
          </cell>
        </row>
        <row r="2007">
          <cell r="A2007" t="str">
            <v>AF2340</v>
          </cell>
          <cell r="B2007" t="str">
            <v>D</v>
          </cell>
          <cell r="C2007">
            <v>9.2799999999999994</v>
          </cell>
        </row>
        <row r="2008">
          <cell r="A2008" t="str">
            <v>AF2341</v>
          </cell>
          <cell r="B2008" t="str">
            <v>B</v>
          </cell>
          <cell r="C2008">
            <v>15.35</v>
          </cell>
        </row>
        <row r="2009">
          <cell r="A2009" t="str">
            <v>LAF2342</v>
          </cell>
          <cell r="B2009" t="str">
            <v>D</v>
          </cell>
          <cell r="C2009">
            <v>90.69</v>
          </cell>
        </row>
        <row r="2010">
          <cell r="A2010" t="str">
            <v>LAF2343</v>
          </cell>
          <cell r="B2010" t="str">
            <v>D</v>
          </cell>
          <cell r="C2010">
            <v>77.78</v>
          </cell>
        </row>
        <row r="2011">
          <cell r="A2011">
            <v>2360</v>
          </cell>
          <cell r="B2011" t="str">
            <v>D</v>
          </cell>
          <cell r="C2011">
            <v>1.83</v>
          </cell>
        </row>
        <row r="2012">
          <cell r="A2012">
            <v>2361</v>
          </cell>
          <cell r="B2012" t="str">
            <v>A</v>
          </cell>
          <cell r="C2012">
            <v>2.84</v>
          </cell>
        </row>
        <row r="2013">
          <cell r="A2013">
            <v>2372</v>
          </cell>
          <cell r="B2013" t="str">
            <v>D</v>
          </cell>
          <cell r="C2013">
            <v>287.45999999999998</v>
          </cell>
        </row>
        <row r="2014">
          <cell r="A2014" t="str">
            <v>LAF2397</v>
          </cell>
          <cell r="B2014" t="str">
            <v>D</v>
          </cell>
          <cell r="C2014">
            <v>91.48</v>
          </cell>
        </row>
        <row r="2015">
          <cell r="A2015">
            <v>2409</v>
          </cell>
          <cell r="B2015" t="str">
            <v>D</v>
          </cell>
          <cell r="C2015">
            <v>37.29</v>
          </cell>
        </row>
        <row r="2016">
          <cell r="A2016">
            <v>2410</v>
          </cell>
          <cell r="B2016" t="str">
            <v>D</v>
          </cell>
          <cell r="C2016">
            <v>23.23</v>
          </cell>
        </row>
        <row r="2017">
          <cell r="A2017">
            <v>2416</v>
          </cell>
          <cell r="B2017" t="str">
            <v>D</v>
          </cell>
          <cell r="C2017">
            <v>8.83</v>
          </cell>
        </row>
        <row r="2018">
          <cell r="A2018">
            <v>2428</v>
          </cell>
          <cell r="B2018" t="str">
            <v>D</v>
          </cell>
          <cell r="C2018">
            <v>6.13</v>
          </cell>
        </row>
        <row r="2019">
          <cell r="A2019" t="str">
            <v>LFP2430</v>
          </cell>
          <cell r="B2019" t="str">
            <v>D</v>
          </cell>
          <cell r="C2019">
            <v>12.24</v>
          </cell>
        </row>
        <row r="2020">
          <cell r="A2020">
            <v>2431</v>
          </cell>
          <cell r="B2020" t="str">
            <v>D</v>
          </cell>
          <cell r="C2020">
            <v>30.74</v>
          </cell>
        </row>
        <row r="2021">
          <cell r="A2021">
            <v>2432</v>
          </cell>
          <cell r="B2021" t="str">
            <v>D</v>
          </cell>
          <cell r="C2021">
            <v>44.54</v>
          </cell>
        </row>
        <row r="2022">
          <cell r="A2022" t="str">
            <v>LAF2438</v>
          </cell>
          <cell r="B2022" t="str">
            <v>D</v>
          </cell>
          <cell r="C2022">
            <v>61.31</v>
          </cell>
        </row>
        <row r="2023">
          <cell r="A2023" t="str">
            <v>LFP2440</v>
          </cell>
          <cell r="B2023" t="str">
            <v>D</v>
          </cell>
          <cell r="C2023">
            <v>48.1</v>
          </cell>
        </row>
        <row r="2024">
          <cell r="A2024" t="str">
            <v>AF2441</v>
          </cell>
          <cell r="B2024" t="str">
            <v>D</v>
          </cell>
          <cell r="C2024">
            <v>18.34</v>
          </cell>
        </row>
        <row r="2025">
          <cell r="A2025" t="str">
            <v>AF2442</v>
          </cell>
          <cell r="B2025" t="str">
            <v>D</v>
          </cell>
          <cell r="C2025">
            <v>49.36</v>
          </cell>
        </row>
        <row r="2026">
          <cell r="A2026" t="str">
            <v>P2470</v>
          </cell>
          <cell r="B2026" t="str">
            <v>D</v>
          </cell>
          <cell r="C2026">
            <v>13.01</v>
          </cell>
        </row>
        <row r="2027">
          <cell r="A2027" t="str">
            <v>LFP2473</v>
          </cell>
          <cell r="B2027" t="str">
            <v>D</v>
          </cell>
          <cell r="C2027">
            <v>17.54</v>
          </cell>
        </row>
        <row r="2028">
          <cell r="A2028" t="str">
            <v>LAF2484</v>
          </cell>
          <cell r="B2028" t="str">
            <v>D</v>
          </cell>
          <cell r="C2028">
            <v>178.15</v>
          </cell>
        </row>
        <row r="2029">
          <cell r="A2029">
            <v>2500</v>
          </cell>
          <cell r="B2029" t="str">
            <v>D</v>
          </cell>
          <cell r="C2029">
            <v>85.08</v>
          </cell>
        </row>
        <row r="2030">
          <cell r="A2030" t="str">
            <v>LAF2503</v>
          </cell>
          <cell r="B2030" t="str">
            <v>D</v>
          </cell>
          <cell r="C2030">
            <v>62.05</v>
          </cell>
        </row>
        <row r="2031">
          <cell r="A2031" t="str">
            <v>LH2512</v>
          </cell>
          <cell r="B2031" t="str">
            <v>N</v>
          </cell>
          <cell r="C2031">
            <v>12.93</v>
          </cell>
        </row>
        <row r="2032">
          <cell r="A2032" t="str">
            <v>LAF2513</v>
          </cell>
          <cell r="B2032" t="str">
            <v>N</v>
          </cell>
          <cell r="C2032">
            <v>23.21</v>
          </cell>
        </row>
        <row r="2033">
          <cell r="A2033" t="str">
            <v>LAF2514</v>
          </cell>
          <cell r="B2033" t="str">
            <v>D</v>
          </cell>
          <cell r="C2033">
            <v>42.33</v>
          </cell>
        </row>
        <row r="2034">
          <cell r="A2034" t="str">
            <v>LAF2515</v>
          </cell>
          <cell r="B2034" t="str">
            <v>D</v>
          </cell>
          <cell r="C2034">
            <v>30.18</v>
          </cell>
        </row>
        <row r="2035">
          <cell r="A2035" t="str">
            <v>LAF2516</v>
          </cell>
          <cell r="B2035" t="str">
            <v>D</v>
          </cell>
          <cell r="C2035">
            <v>78.5</v>
          </cell>
        </row>
        <row r="2036">
          <cell r="A2036" t="str">
            <v>LAF2516MXM</v>
          </cell>
          <cell r="B2036" t="str">
            <v>N</v>
          </cell>
          <cell r="C2036">
            <v>94.2</v>
          </cell>
        </row>
        <row r="2037">
          <cell r="A2037" t="str">
            <v>LAF2517</v>
          </cell>
          <cell r="B2037" t="str">
            <v>D</v>
          </cell>
          <cell r="C2037">
            <v>35.08</v>
          </cell>
        </row>
        <row r="2038">
          <cell r="A2038" t="str">
            <v>LAF2519</v>
          </cell>
          <cell r="B2038" t="str">
            <v>D</v>
          </cell>
          <cell r="C2038">
            <v>88.62</v>
          </cell>
        </row>
        <row r="2039">
          <cell r="A2039" t="str">
            <v>LAF2521</v>
          </cell>
          <cell r="B2039" t="str">
            <v>D</v>
          </cell>
          <cell r="C2039">
            <v>97.12</v>
          </cell>
        </row>
        <row r="2040">
          <cell r="A2040" t="str">
            <v>LAF2522</v>
          </cell>
          <cell r="B2040" t="str">
            <v>D</v>
          </cell>
          <cell r="C2040">
            <v>116.68</v>
          </cell>
        </row>
        <row r="2041">
          <cell r="A2041" t="str">
            <v>LAF2523</v>
          </cell>
          <cell r="B2041" t="str">
            <v>D</v>
          </cell>
          <cell r="C2041">
            <v>55.16</v>
          </cell>
        </row>
        <row r="2042">
          <cell r="A2042" t="str">
            <v>LP2525</v>
          </cell>
          <cell r="B2042" t="str">
            <v>D</v>
          </cell>
          <cell r="C2042">
            <v>42.39</v>
          </cell>
        </row>
        <row r="2043">
          <cell r="A2043" t="str">
            <v>LAF2526</v>
          </cell>
          <cell r="B2043" t="str">
            <v>D</v>
          </cell>
          <cell r="C2043">
            <v>42.69</v>
          </cell>
        </row>
        <row r="2044">
          <cell r="A2044" t="str">
            <v>LAF2527</v>
          </cell>
          <cell r="B2044" t="str">
            <v>D</v>
          </cell>
          <cell r="C2044">
            <v>44.98</v>
          </cell>
        </row>
        <row r="2045">
          <cell r="A2045" t="str">
            <v>LAF2528</v>
          </cell>
          <cell r="B2045" t="str">
            <v>D</v>
          </cell>
          <cell r="C2045">
            <v>32.369999999999997</v>
          </cell>
        </row>
        <row r="2046">
          <cell r="A2046" t="str">
            <v>LAF2529</v>
          </cell>
          <cell r="B2046" t="str">
            <v>D</v>
          </cell>
          <cell r="C2046">
            <v>51.81</v>
          </cell>
        </row>
        <row r="2047">
          <cell r="A2047" t="str">
            <v>LAF2530</v>
          </cell>
          <cell r="B2047" t="str">
            <v>D</v>
          </cell>
          <cell r="C2047">
            <v>31.58</v>
          </cell>
        </row>
        <row r="2048">
          <cell r="A2048" t="str">
            <v>LAF2531</v>
          </cell>
          <cell r="B2048" t="str">
            <v>D</v>
          </cell>
          <cell r="C2048">
            <v>61.05</v>
          </cell>
        </row>
        <row r="2049">
          <cell r="A2049" t="str">
            <v>LAF2532</v>
          </cell>
          <cell r="B2049" t="str">
            <v>D</v>
          </cell>
          <cell r="C2049">
            <v>37.71</v>
          </cell>
        </row>
        <row r="2050">
          <cell r="A2050" t="str">
            <v>LAF2533</v>
          </cell>
          <cell r="B2050" t="str">
            <v>D</v>
          </cell>
          <cell r="C2050">
            <v>43.63</v>
          </cell>
        </row>
        <row r="2051">
          <cell r="A2051" t="str">
            <v>LAF2534</v>
          </cell>
          <cell r="B2051" t="str">
            <v>D</v>
          </cell>
          <cell r="C2051">
            <v>52.86</v>
          </cell>
        </row>
        <row r="2052">
          <cell r="A2052" t="str">
            <v>LFP2535</v>
          </cell>
          <cell r="B2052" t="str">
            <v>D</v>
          </cell>
          <cell r="C2052">
            <v>25.12</v>
          </cell>
        </row>
        <row r="2053">
          <cell r="A2053" t="str">
            <v>LAF2536</v>
          </cell>
          <cell r="B2053" t="str">
            <v>B</v>
          </cell>
          <cell r="C2053">
            <v>94.72</v>
          </cell>
        </row>
        <row r="2054">
          <cell r="A2054" t="str">
            <v>LAF2536MXM</v>
          </cell>
          <cell r="B2054" t="str">
            <v>N</v>
          </cell>
          <cell r="C2054">
            <v>104.21</v>
          </cell>
        </row>
        <row r="2055">
          <cell r="A2055" t="str">
            <v>LFP2538</v>
          </cell>
          <cell r="B2055" t="str">
            <v>D</v>
          </cell>
          <cell r="C2055">
            <v>21.22</v>
          </cell>
        </row>
        <row r="2056">
          <cell r="A2056" t="str">
            <v>LAF2539</v>
          </cell>
          <cell r="B2056" t="str">
            <v>D</v>
          </cell>
          <cell r="C2056">
            <v>31.9</v>
          </cell>
        </row>
        <row r="2057">
          <cell r="A2057" t="str">
            <v>LAF2540</v>
          </cell>
          <cell r="B2057" t="str">
            <v>D</v>
          </cell>
          <cell r="C2057">
            <v>68.709999999999994</v>
          </cell>
        </row>
        <row r="2058">
          <cell r="A2058" t="str">
            <v>LAF2541</v>
          </cell>
          <cell r="B2058" t="str">
            <v>D</v>
          </cell>
          <cell r="C2058">
            <v>40.86</v>
          </cell>
        </row>
        <row r="2059">
          <cell r="A2059" t="str">
            <v>LAF2542</v>
          </cell>
          <cell r="B2059" t="str">
            <v>D</v>
          </cell>
          <cell r="C2059">
            <v>41.25</v>
          </cell>
        </row>
        <row r="2060">
          <cell r="A2060" t="str">
            <v>LAF2543</v>
          </cell>
          <cell r="B2060" t="str">
            <v>D</v>
          </cell>
          <cell r="C2060">
            <v>69.180000000000007</v>
          </cell>
        </row>
        <row r="2061">
          <cell r="A2061" t="str">
            <v>LH2544</v>
          </cell>
          <cell r="B2061" t="str">
            <v>D</v>
          </cell>
          <cell r="C2061">
            <v>102.36</v>
          </cell>
        </row>
        <row r="2062">
          <cell r="A2062" t="str">
            <v>LP2545</v>
          </cell>
          <cell r="B2062" t="str">
            <v>D</v>
          </cell>
          <cell r="C2062">
            <v>56.11</v>
          </cell>
        </row>
        <row r="2063">
          <cell r="A2063" t="str">
            <v>LFP2546</v>
          </cell>
          <cell r="B2063" t="str">
            <v>D</v>
          </cell>
          <cell r="C2063">
            <v>62.53</v>
          </cell>
        </row>
        <row r="2064">
          <cell r="A2064" t="str">
            <v>LAF2547</v>
          </cell>
          <cell r="B2064" t="str">
            <v>D</v>
          </cell>
          <cell r="C2064">
            <v>120.26</v>
          </cell>
        </row>
        <row r="2065">
          <cell r="A2065" t="str">
            <v>AF2548</v>
          </cell>
          <cell r="B2065" t="str">
            <v>D</v>
          </cell>
          <cell r="C2065">
            <v>18.940000000000001</v>
          </cell>
        </row>
        <row r="2066">
          <cell r="A2066" t="str">
            <v>LAF2549</v>
          </cell>
          <cell r="B2066" t="str">
            <v>D</v>
          </cell>
          <cell r="C2066">
            <v>20.96</v>
          </cell>
        </row>
        <row r="2067">
          <cell r="A2067" t="str">
            <v>LAF2550</v>
          </cell>
          <cell r="B2067" t="str">
            <v>D</v>
          </cell>
          <cell r="C2067">
            <v>96.08</v>
          </cell>
        </row>
        <row r="2068">
          <cell r="A2068" t="str">
            <v>LAF2551</v>
          </cell>
          <cell r="B2068" t="str">
            <v>D</v>
          </cell>
          <cell r="C2068">
            <v>201.9</v>
          </cell>
        </row>
        <row r="2069">
          <cell r="A2069">
            <v>2581</v>
          </cell>
          <cell r="B2069" t="str">
            <v>D</v>
          </cell>
          <cell r="C2069">
            <v>2841.82</v>
          </cell>
        </row>
        <row r="2070">
          <cell r="A2070">
            <v>2584</v>
          </cell>
          <cell r="B2070" t="str">
            <v>D</v>
          </cell>
          <cell r="C2070">
            <v>3080.47</v>
          </cell>
        </row>
        <row r="2071">
          <cell r="A2071" t="str">
            <v>LAF2586</v>
          </cell>
          <cell r="B2071" t="str">
            <v>D</v>
          </cell>
          <cell r="C2071">
            <v>54.28</v>
          </cell>
        </row>
        <row r="2072">
          <cell r="A2072" t="str">
            <v>L2603F</v>
          </cell>
          <cell r="B2072" t="str">
            <v>D</v>
          </cell>
          <cell r="C2072">
            <v>12.89</v>
          </cell>
        </row>
        <row r="2073">
          <cell r="A2073" t="str">
            <v>LAF2604</v>
          </cell>
          <cell r="B2073" t="str">
            <v>D</v>
          </cell>
          <cell r="C2073">
            <v>103.89</v>
          </cell>
        </row>
        <row r="2074">
          <cell r="A2074" t="str">
            <v>LAF2605</v>
          </cell>
          <cell r="B2074" t="str">
            <v>D</v>
          </cell>
          <cell r="C2074">
            <v>163.19</v>
          </cell>
        </row>
        <row r="2075">
          <cell r="A2075" t="str">
            <v>LAF2608</v>
          </cell>
          <cell r="B2075" t="str">
            <v>C</v>
          </cell>
          <cell r="C2075">
            <v>109.42</v>
          </cell>
        </row>
        <row r="2076">
          <cell r="A2076" t="str">
            <v>LAF2612</v>
          </cell>
          <cell r="B2076" t="str">
            <v>D</v>
          </cell>
          <cell r="C2076">
            <v>77.42</v>
          </cell>
        </row>
        <row r="2077">
          <cell r="A2077" t="str">
            <v>LAF2625</v>
          </cell>
          <cell r="B2077" t="str">
            <v>D</v>
          </cell>
          <cell r="C2077">
            <v>49.6</v>
          </cell>
        </row>
        <row r="2078">
          <cell r="A2078">
            <v>2631</v>
          </cell>
          <cell r="B2078" t="str">
            <v>D</v>
          </cell>
          <cell r="C2078">
            <v>17.21</v>
          </cell>
        </row>
        <row r="2079">
          <cell r="A2079">
            <v>2636</v>
          </cell>
          <cell r="B2079" t="str">
            <v>D</v>
          </cell>
          <cell r="C2079">
            <v>23.01</v>
          </cell>
        </row>
        <row r="2080">
          <cell r="A2080">
            <v>2642</v>
          </cell>
          <cell r="B2080" t="str">
            <v>D</v>
          </cell>
          <cell r="C2080">
            <v>104.5</v>
          </cell>
        </row>
        <row r="2081">
          <cell r="A2081">
            <v>2647</v>
          </cell>
          <cell r="B2081" t="str">
            <v>D</v>
          </cell>
          <cell r="C2081">
            <v>620.21</v>
          </cell>
        </row>
        <row r="2082">
          <cell r="A2082">
            <v>2648</v>
          </cell>
          <cell r="B2082" t="str">
            <v>D</v>
          </cell>
          <cell r="C2082">
            <v>508.03</v>
          </cell>
        </row>
        <row r="2083">
          <cell r="A2083">
            <v>2649</v>
          </cell>
          <cell r="B2083" t="str">
            <v>D</v>
          </cell>
          <cell r="C2083">
            <v>327.27</v>
          </cell>
        </row>
        <row r="2084">
          <cell r="A2084">
            <v>2666</v>
          </cell>
          <cell r="B2084" t="str">
            <v>D</v>
          </cell>
          <cell r="C2084">
            <v>218.38</v>
          </cell>
        </row>
        <row r="2085">
          <cell r="A2085">
            <v>2668</v>
          </cell>
          <cell r="B2085" t="str">
            <v>D</v>
          </cell>
          <cell r="C2085">
            <v>41.1</v>
          </cell>
        </row>
        <row r="2086">
          <cell r="A2086">
            <v>2669</v>
          </cell>
          <cell r="B2086" t="str">
            <v>D</v>
          </cell>
          <cell r="C2086">
            <v>21.46</v>
          </cell>
        </row>
        <row r="2087">
          <cell r="A2087">
            <v>2670</v>
          </cell>
          <cell r="B2087" t="str">
            <v>D</v>
          </cell>
          <cell r="C2087">
            <v>14.3</v>
          </cell>
        </row>
        <row r="2088">
          <cell r="A2088" t="str">
            <v>LAF2671</v>
          </cell>
          <cell r="B2088" t="str">
            <v>D</v>
          </cell>
          <cell r="C2088">
            <v>43.18</v>
          </cell>
        </row>
        <row r="2089">
          <cell r="A2089">
            <v>2690</v>
          </cell>
          <cell r="B2089" t="str">
            <v>D</v>
          </cell>
          <cell r="C2089">
            <v>98.31</v>
          </cell>
        </row>
        <row r="2090">
          <cell r="A2090" t="str">
            <v>LFP2698</v>
          </cell>
          <cell r="B2090" t="str">
            <v>N</v>
          </cell>
          <cell r="C2090">
            <v>21.43</v>
          </cell>
        </row>
        <row r="2091">
          <cell r="A2091" t="str">
            <v>PH2702</v>
          </cell>
          <cell r="B2091" t="str">
            <v>D</v>
          </cell>
          <cell r="C2091">
            <v>11.41</v>
          </cell>
        </row>
        <row r="2092">
          <cell r="A2092">
            <v>2706</v>
          </cell>
          <cell r="B2092" t="str">
            <v>D</v>
          </cell>
          <cell r="C2092">
            <v>97.29</v>
          </cell>
        </row>
        <row r="2093">
          <cell r="A2093">
            <v>2707</v>
          </cell>
          <cell r="B2093" t="str">
            <v>D</v>
          </cell>
          <cell r="C2093">
            <v>87.82</v>
          </cell>
        </row>
        <row r="2094">
          <cell r="A2094">
            <v>2708</v>
          </cell>
          <cell r="B2094" t="str">
            <v>D</v>
          </cell>
          <cell r="C2094">
            <v>74.17</v>
          </cell>
        </row>
        <row r="2095">
          <cell r="A2095" t="str">
            <v>LAF2736</v>
          </cell>
          <cell r="B2095" t="str">
            <v>D</v>
          </cell>
          <cell r="C2095">
            <v>33.67</v>
          </cell>
        </row>
        <row r="2096">
          <cell r="A2096" t="str">
            <v>LAF2738</v>
          </cell>
          <cell r="B2096" t="str">
            <v>D</v>
          </cell>
          <cell r="C2096">
            <v>35.770000000000003</v>
          </cell>
        </row>
        <row r="2097">
          <cell r="A2097" t="str">
            <v>LAF2745A</v>
          </cell>
          <cell r="B2097" t="str">
            <v>D</v>
          </cell>
          <cell r="C2097">
            <v>21.1</v>
          </cell>
        </row>
        <row r="2098">
          <cell r="A2098" t="str">
            <v>LAF2746</v>
          </cell>
          <cell r="B2098" t="str">
            <v>D</v>
          </cell>
          <cell r="C2098">
            <v>30.23</v>
          </cell>
        </row>
        <row r="2099">
          <cell r="A2099" t="str">
            <v>LFF2749</v>
          </cell>
          <cell r="B2099" t="str">
            <v>A</v>
          </cell>
          <cell r="C2099">
            <v>14.81</v>
          </cell>
        </row>
        <row r="2100">
          <cell r="A2100" t="str">
            <v>LAF2753</v>
          </cell>
          <cell r="B2100" t="str">
            <v>N</v>
          </cell>
          <cell r="C2100">
            <v>113.8</v>
          </cell>
        </row>
        <row r="2101">
          <cell r="A2101">
            <v>2760</v>
          </cell>
          <cell r="B2101" t="str">
            <v>D</v>
          </cell>
          <cell r="C2101">
            <v>540.71</v>
          </cell>
        </row>
        <row r="2102">
          <cell r="A2102">
            <v>2763</v>
          </cell>
          <cell r="B2102" t="str">
            <v>D</v>
          </cell>
          <cell r="C2102">
            <v>257.87</v>
          </cell>
        </row>
        <row r="2103">
          <cell r="A2103">
            <v>2764</v>
          </cell>
          <cell r="B2103" t="str">
            <v>D</v>
          </cell>
          <cell r="C2103">
            <v>255.02</v>
          </cell>
        </row>
        <row r="2104">
          <cell r="A2104">
            <v>2765</v>
          </cell>
          <cell r="B2104" t="str">
            <v>D</v>
          </cell>
          <cell r="C2104">
            <v>334.19</v>
          </cell>
        </row>
        <row r="2105">
          <cell r="A2105" t="str">
            <v>AF2771</v>
          </cell>
          <cell r="B2105" t="str">
            <v>D</v>
          </cell>
          <cell r="C2105">
            <v>12.27</v>
          </cell>
        </row>
        <row r="2106">
          <cell r="A2106" t="str">
            <v>AF2780</v>
          </cell>
          <cell r="B2106" t="str">
            <v>D</v>
          </cell>
          <cell r="C2106">
            <v>14.38</v>
          </cell>
        </row>
        <row r="2107">
          <cell r="A2107" t="str">
            <v>AF2782</v>
          </cell>
          <cell r="B2107" t="str">
            <v>D</v>
          </cell>
          <cell r="C2107">
            <v>21.19</v>
          </cell>
        </row>
        <row r="2108">
          <cell r="A2108" t="str">
            <v>AF2785</v>
          </cell>
          <cell r="B2108" t="str">
            <v>B</v>
          </cell>
          <cell r="C2108">
            <v>18</v>
          </cell>
        </row>
        <row r="2109">
          <cell r="A2109" t="str">
            <v>AF2786</v>
          </cell>
          <cell r="B2109" t="str">
            <v>D</v>
          </cell>
          <cell r="C2109">
            <v>18.420000000000002</v>
          </cell>
        </row>
        <row r="2110">
          <cell r="A2110">
            <v>2788</v>
          </cell>
          <cell r="B2110" t="str">
            <v>B</v>
          </cell>
          <cell r="C2110">
            <v>5.46</v>
          </cell>
        </row>
        <row r="2111">
          <cell r="A2111" t="str">
            <v>2788B</v>
          </cell>
          <cell r="B2111" t="str">
            <v>A</v>
          </cell>
          <cell r="C2111">
            <v>2.61</v>
          </cell>
        </row>
        <row r="2112">
          <cell r="A2112">
            <v>2791</v>
          </cell>
          <cell r="B2112" t="str">
            <v>D</v>
          </cell>
          <cell r="C2112">
            <v>630.89</v>
          </cell>
        </row>
        <row r="2113">
          <cell r="A2113">
            <v>2793</v>
          </cell>
          <cell r="B2113" t="str">
            <v>D</v>
          </cell>
          <cell r="C2113">
            <v>632.98</v>
          </cell>
        </row>
        <row r="2114">
          <cell r="A2114" t="str">
            <v>PH2801</v>
          </cell>
          <cell r="B2114" t="str">
            <v>C</v>
          </cell>
          <cell r="C2114">
            <v>7.78</v>
          </cell>
        </row>
        <row r="2115">
          <cell r="A2115" t="str">
            <v>AF2807</v>
          </cell>
          <cell r="B2115" t="str">
            <v>D</v>
          </cell>
          <cell r="C2115">
            <v>55.24</v>
          </cell>
        </row>
        <row r="2116">
          <cell r="A2116" t="str">
            <v>PH2808</v>
          </cell>
          <cell r="B2116" t="str">
            <v>A</v>
          </cell>
          <cell r="C2116">
            <v>7.33</v>
          </cell>
        </row>
        <row r="2117">
          <cell r="A2117" t="str">
            <v>PH2809</v>
          </cell>
          <cell r="B2117" t="str">
            <v>D</v>
          </cell>
          <cell r="C2117">
            <v>7.02</v>
          </cell>
        </row>
        <row r="2118">
          <cell r="A2118" t="str">
            <v>PH2811</v>
          </cell>
          <cell r="B2118" t="str">
            <v>D</v>
          </cell>
          <cell r="C2118">
            <v>9.14</v>
          </cell>
        </row>
        <row r="2119">
          <cell r="A2119" t="str">
            <v>PH2814</v>
          </cell>
          <cell r="B2119" t="str">
            <v>C</v>
          </cell>
          <cell r="C2119">
            <v>7.7</v>
          </cell>
        </row>
        <row r="2120">
          <cell r="A2120" t="str">
            <v>PH2815</v>
          </cell>
          <cell r="B2120" t="str">
            <v>B</v>
          </cell>
          <cell r="C2120">
            <v>8.3699999999999992</v>
          </cell>
        </row>
        <row r="2121">
          <cell r="A2121" t="str">
            <v>PH2816</v>
          </cell>
          <cell r="B2121" t="str">
            <v>B</v>
          </cell>
          <cell r="C2121">
            <v>7.67</v>
          </cell>
        </row>
        <row r="2122">
          <cell r="A2122" t="str">
            <v>PH2817</v>
          </cell>
          <cell r="B2122" t="str">
            <v>C</v>
          </cell>
          <cell r="C2122">
            <v>7.26</v>
          </cell>
        </row>
        <row r="2123">
          <cell r="A2123" t="str">
            <v>PH2819</v>
          </cell>
          <cell r="B2123" t="str">
            <v>C</v>
          </cell>
          <cell r="C2123">
            <v>10.11</v>
          </cell>
        </row>
        <row r="2124">
          <cell r="A2124">
            <v>2821</v>
          </cell>
          <cell r="B2124" t="str">
            <v>D</v>
          </cell>
          <cell r="C2124">
            <v>111.39</v>
          </cell>
        </row>
        <row r="2125">
          <cell r="A2125" t="str">
            <v>LAF2821</v>
          </cell>
          <cell r="B2125" t="str">
            <v>D</v>
          </cell>
          <cell r="C2125">
            <v>87.84</v>
          </cell>
        </row>
        <row r="2126">
          <cell r="A2126" t="str">
            <v>PH2827</v>
          </cell>
          <cell r="B2126" t="str">
            <v>A</v>
          </cell>
          <cell r="C2126">
            <v>7.5</v>
          </cell>
        </row>
        <row r="2127">
          <cell r="A2127">
            <v>2831</v>
          </cell>
          <cell r="B2127" t="str">
            <v>D</v>
          </cell>
          <cell r="C2127">
            <v>6.81</v>
          </cell>
        </row>
        <row r="2128">
          <cell r="A2128" t="str">
            <v>LAF2831</v>
          </cell>
          <cell r="B2128" t="str">
            <v>D</v>
          </cell>
          <cell r="C2128">
            <v>137.19</v>
          </cell>
        </row>
        <row r="2129">
          <cell r="A2129" t="str">
            <v>PH2835</v>
          </cell>
          <cell r="B2129" t="str">
            <v>A</v>
          </cell>
          <cell r="C2129">
            <v>5.71</v>
          </cell>
        </row>
        <row r="2130">
          <cell r="A2130" t="str">
            <v>PH2835M</v>
          </cell>
          <cell r="B2130" t="str">
            <v>N</v>
          </cell>
          <cell r="C2130">
            <v>7.87</v>
          </cell>
        </row>
        <row r="2131">
          <cell r="A2131" t="str">
            <v>PH2840</v>
          </cell>
          <cell r="B2131" t="str">
            <v>A</v>
          </cell>
          <cell r="C2131">
            <v>6.54</v>
          </cell>
        </row>
        <row r="2132">
          <cell r="A2132" t="str">
            <v>PH2843</v>
          </cell>
          <cell r="B2132" t="str">
            <v>D</v>
          </cell>
          <cell r="C2132">
            <v>29.92</v>
          </cell>
        </row>
        <row r="2133">
          <cell r="A2133" t="str">
            <v>PH2852</v>
          </cell>
          <cell r="B2133" t="str">
            <v>D</v>
          </cell>
          <cell r="C2133">
            <v>19.93</v>
          </cell>
        </row>
        <row r="2134">
          <cell r="A2134" t="str">
            <v>LP2854</v>
          </cell>
          <cell r="B2134" t="str">
            <v>D</v>
          </cell>
          <cell r="C2134">
            <v>17.739999999999998</v>
          </cell>
        </row>
        <row r="2135">
          <cell r="A2135" t="str">
            <v>PH2855</v>
          </cell>
          <cell r="B2135" t="str">
            <v>D</v>
          </cell>
          <cell r="C2135">
            <v>17.16</v>
          </cell>
        </row>
        <row r="2136">
          <cell r="A2136" t="str">
            <v>PH2856A</v>
          </cell>
          <cell r="B2136" t="str">
            <v>C</v>
          </cell>
          <cell r="C2136">
            <v>7.31</v>
          </cell>
        </row>
        <row r="2137">
          <cell r="A2137" t="str">
            <v>PH2863B</v>
          </cell>
          <cell r="B2137" t="str">
            <v>A</v>
          </cell>
          <cell r="C2137">
            <v>10.71</v>
          </cell>
        </row>
        <row r="2138">
          <cell r="A2138" t="str">
            <v>PH2865</v>
          </cell>
          <cell r="B2138" t="str">
            <v>C</v>
          </cell>
          <cell r="C2138">
            <v>7.53</v>
          </cell>
        </row>
        <row r="2139">
          <cell r="A2139" t="str">
            <v>PH2867</v>
          </cell>
          <cell r="B2139" t="str">
            <v>A</v>
          </cell>
          <cell r="C2139">
            <v>7.78</v>
          </cell>
        </row>
        <row r="2140">
          <cell r="A2140" t="str">
            <v>PH2869</v>
          </cell>
          <cell r="B2140" t="str">
            <v>B</v>
          </cell>
          <cell r="C2140">
            <v>7.28</v>
          </cell>
        </row>
        <row r="2141">
          <cell r="A2141">
            <v>2871</v>
          </cell>
          <cell r="B2141" t="str">
            <v>D</v>
          </cell>
          <cell r="C2141">
            <v>611.13</v>
          </cell>
        </row>
        <row r="2142">
          <cell r="A2142" t="str">
            <v>LAF2872</v>
          </cell>
          <cell r="B2142" t="str">
            <v>D</v>
          </cell>
          <cell r="C2142">
            <v>61.64</v>
          </cell>
        </row>
        <row r="2143">
          <cell r="A2143" t="str">
            <v>PH2873</v>
          </cell>
          <cell r="B2143" t="str">
            <v>N</v>
          </cell>
          <cell r="C2143">
            <v>9.82</v>
          </cell>
        </row>
        <row r="2144">
          <cell r="A2144" t="str">
            <v>PH2874</v>
          </cell>
          <cell r="B2144" t="str">
            <v>D</v>
          </cell>
          <cell r="C2144">
            <v>13.02</v>
          </cell>
        </row>
        <row r="2145">
          <cell r="A2145" t="str">
            <v>PH2875</v>
          </cell>
          <cell r="B2145" t="str">
            <v>D</v>
          </cell>
          <cell r="C2145">
            <v>9.5399999999999991</v>
          </cell>
        </row>
        <row r="2146">
          <cell r="A2146" t="str">
            <v>PH2876</v>
          </cell>
          <cell r="B2146" t="str">
            <v>A</v>
          </cell>
          <cell r="C2146">
            <v>8.5399999999999991</v>
          </cell>
        </row>
        <row r="2147">
          <cell r="A2147" t="str">
            <v>AF2883</v>
          </cell>
          <cell r="B2147" t="str">
            <v>B</v>
          </cell>
          <cell r="C2147">
            <v>13.36</v>
          </cell>
        </row>
        <row r="2148">
          <cell r="A2148" t="str">
            <v>AF2884</v>
          </cell>
          <cell r="B2148" t="str">
            <v>A</v>
          </cell>
          <cell r="C2148">
            <v>12.72</v>
          </cell>
        </row>
        <row r="2149">
          <cell r="A2149" t="str">
            <v>LAF2886</v>
          </cell>
          <cell r="B2149" t="str">
            <v>A</v>
          </cell>
          <cell r="C2149">
            <v>111.57</v>
          </cell>
        </row>
        <row r="2150">
          <cell r="A2150" t="str">
            <v>PH2892</v>
          </cell>
          <cell r="B2150" t="str">
            <v>D</v>
          </cell>
          <cell r="C2150">
            <v>44.31</v>
          </cell>
        </row>
        <row r="2151">
          <cell r="A2151" t="str">
            <v>AF2893</v>
          </cell>
          <cell r="B2151" t="str">
            <v>A</v>
          </cell>
          <cell r="C2151">
            <v>17.82</v>
          </cell>
        </row>
        <row r="2152">
          <cell r="A2152" t="str">
            <v>G2900</v>
          </cell>
          <cell r="B2152" t="str">
            <v>D</v>
          </cell>
          <cell r="C2152">
            <v>10.25</v>
          </cell>
        </row>
        <row r="2153">
          <cell r="A2153" t="str">
            <v>G2901</v>
          </cell>
          <cell r="B2153" t="str">
            <v>D</v>
          </cell>
          <cell r="C2153">
            <v>28.17</v>
          </cell>
        </row>
        <row r="2154">
          <cell r="A2154" t="str">
            <v>G2902</v>
          </cell>
          <cell r="B2154" t="str">
            <v>D</v>
          </cell>
          <cell r="C2154">
            <v>26.71</v>
          </cell>
        </row>
        <row r="2155">
          <cell r="A2155" t="str">
            <v>P2902</v>
          </cell>
          <cell r="B2155" t="str">
            <v>D</v>
          </cell>
          <cell r="C2155">
            <v>24.85</v>
          </cell>
        </row>
        <row r="2156">
          <cell r="A2156" t="str">
            <v>G2903</v>
          </cell>
          <cell r="B2156" t="str">
            <v>D</v>
          </cell>
          <cell r="C2156">
            <v>27.77</v>
          </cell>
        </row>
        <row r="2157">
          <cell r="A2157" t="str">
            <v>PH2903</v>
          </cell>
          <cell r="B2157" t="str">
            <v>A</v>
          </cell>
          <cell r="C2157">
            <v>7.18</v>
          </cell>
        </row>
        <row r="2158">
          <cell r="A2158" t="str">
            <v>G2904</v>
          </cell>
          <cell r="B2158" t="str">
            <v>B</v>
          </cell>
          <cell r="C2158">
            <v>27.66</v>
          </cell>
        </row>
        <row r="2159">
          <cell r="A2159" t="str">
            <v>PH2904</v>
          </cell>
          <cell r="B2159" t="str">
            <v>C</v>
          </cell>
          <cell r="C2159">
            <v>8.0500000000000007</v>
          </cell>
        </row>
        <row r="2160">
          <cell r="A2160" t="str">
            <v>G2905</v>
          </cell>
          <cell r="B2160" t="str">
            <v>D</v>
          </cell>
          <cell r="C2160">
            <v>9.5399999999999991</v>
          </cell>
        </row>
        <row r="2161">
          <cell r="A2161" t="str">
            <v>PH2905</v>
          </cell>
          <cell r="B2161" t="str">
            <v>D</v>
          </cell>
          <cell r="C2161">
            <v>14.05</v>
          </cell>
        </row>
        <row r="2162">
          <cell r="A2162" t="str">
            <v>G2906</v>
          </cell>
          <cell r="B2162" t="str">
            <v>D</v>
          </cell>
          <cell r="C2162">
            <v>4.3099999999999996</v>
          </cell>
        </row>
        <row r="2163">
          <cell r="A2163" t="str">
            <v>G2907</v>
          </cell>
          <cell r="B2163" t="str">
            <v>D</v>
          </cell>
          <cell r="C2163">
            <v>26.36</v>
          </cell>
        </row>
        <row r="2164">
          <cell r="A2164" t="str">
            <v>G2908</v>
          </cell>
          <cell r="B2164" t="str">
            <v>B</v>
          </cell>
          <cell r="C2164">
            <v>33.82</v>
          </cell>
        </row>
        <row r="2165">
          <cell r="A2165" t="str">
            <v>G2909</v>
          </cell>
          <cell r="B2165" t="str">
            <v>D</v>
          </cell>
          <cell r="C2165">
            <v>35.56</v>
          </cell>
        </row>
        <row r="2166">
          <cell r="A2166" t="str">
            <v>G2910</v>
          </cell>
          <cell r="B2166" t="str">
            <v>D</v>
          </cell>
          <cell r="C2166">
            <v>9.36</v>
          </cell>
        </row>
        <row r="2167">
          <cell r="A2167" t="str">
            <v>G2911</v>
          </cell>
          <cell r="B2167" t="str">
            <v>D</v>
          </cell>
          <cell r="C2167">
            <v>27.22</v>
          </cell>
        </row>
        <row r="2168">
          <cell r="A2168" t="str">
            <v>G2912</v>
          </cell>
          <cell r="B2168" t="str">
            <v>D</v>
          </cell>
          <cell r="C2168">
            <v>33.42</v>
          </cell>
        </row>
        <row r="2169">
          <cell r="A2169" t="str">
            <v>G2913</v>
          </cell>
          <cell r="B2169" t="str">
            <v>D</v>
          </cell>
          <cell r="C2169">
            <v>4.46</v>
          </cell>
        </row>
        <row r="2170">
          <cell r="A2170" t="str">
            <v>G2914</v>
          </cell>
          <cell r="B2170" t="str">
            <v>D</v>
          </cell>
          <cell r="C2170">
            <v>27.46</v>
          </cell>
        </row>
        <row r="2171">
          <cell r="A2171" t="str">
            <v>G2915</v>
          </cell>
          <cell r="B2171" t="str">
            <v>D</v>
          </cell>
          <cell r="C2171">
            <v>30.04</v>
          </cell>
        </row>
        <row r="2172">
          <cell r="A2172" t="str">
            <v>G2916</v>
          </cell>
          <cell r="B2172" t="str">
            <v>D</v>
          </cell>
          <cell r="C2172">
            <v>30.67</v>
          </cell>
        </row>
        <row r="2173">
          <cell r="A2173" t="str">
            <v>G2917</v>
          </cell>
          <cell r="B2173" t="str">
            <v>D</v>
          </cell>
          <cell r="C2173">
            <v>5.21</v>
          </cell>
        </row>
        <row r="2174">
          <cell r="A2174" t="str">
            <v>G2918</v>
          </cell>
          <cell r="B2174" t="str">
            <v>D</v>
          </cell>
          <cell r="C2174">
            <v>19.16</v>
          </cell>
        </row>
        <row r="2175">
          <cell r="A2175" t="str">
            <v>G2919</v>
          </cell>
          <cell r="B2175" t="str">
            <v>D</v>
          </cell>
          <cell r="C2175">
            <v>26.93</v>
          </cell>
        </row>
        <row r="2176">
          <cell r="A2176" t="str">
            <v>G2920</v>
          </cell>
          <cell r="B2176" t="str">
            <v>A</v>
          </cell>
          <cell r="C2176">
            <v>35.520000000000003</v>
          </cell>
        </row>
        <row r="2177">
          <cell r="A2177" t="str">
            <v>G2921</v>
          </cell>
          <cell r="B2177" t="str">
            <v>D</v>
          </cell>
          <cell r="C2177">
            <v>30.77</v>
          </cell>
        </row>
        <row r="2178">
          <cell r="A2178" t="str">
            <v>P2923</v>
          </cell>
          <cell r="B2178" t="str">
            <v>D</v>
          </cell>
          <cell r="C2178">
            <v>37.93</v>
          </cell>
        </row>
        <row r="2179">
          <cell r="A2179" t="str">
            <v>LAF2926</v>
          </cell>
          <cell r="B2179" t="str">
            <v>D</v>
          </cell>
          <cell r="C2179">
            <v>82.66</v>
          </cell>
        </row>
        <row r="2180">
          <cell r="A2180" t="str">
            <v>G2928</v>
          </cell>
          <cell r="B2180" t="str">
            <v>D</v>
          </cell>
          <cell r="C2180">
            <v>19.38</v>
          </cell>
        </row>
        <row r="2181">
          <cell r="A2181" t="str">
            <v>G2930</v>
          </cell>
          <cell r="B2181" t="str">
            <v>D</v>
          </cell>
          <cell r="C2181">
            <v>25.21</v>
          </cell>
        </row>
        <row r="2182">
          <cell r="A2182" t="str">
            <v>G2932</v>
          </cell>
          <cell r="B2182" t="str">
            <v>C</v>
          </cell>
          <cell r="C2182">
            <v>12.36</v>
          </cell>
        </row>
        <row r="2183">
          <cell r="A2183" t="str">
            <v>G2933</v>
          </cell>
          <cell r="B2183" t="str">
            <v>D</v>
          </cell>
          <cell r="C2183">
            <v>29.21</v>
          </cell>
        </row>
        <row r="2184">
          <cell r="A2184" t="str">
            <v>G2934</v>
          </cell>
          <cell r="B2184" t="str">
            <v>D</v>
          </cell>
          <cell r="C2184">
            <v>32.93</v>
          </cell>
        </row>
        <row r="2185">
          <cell r="A2185" t="str">
            <v>G2935</v>
          </cell>
          <cell r="B2185" t="str">
            <v>D</v>
          </cell>
          <cell r="C2185">
            <v>28.01</v>
          </cell>
        </row>
        <row r="2186">
          <cell r="A2186" t="str">
            <v>G2936</v>
          </cell>
          <cell r="B2186" t="str">
            <v>D</v>
          </cell>
          <cell r="C2186">
            <v>14.53</v>
          </cell>
        </row>
        <row r="2187">
          <cell r="A2187">
            <v>2938</v>
          </cell>
          <cell r="B2187" t="str">
            <v>D</v>
          </cell>
          <cell r="C2187">
            <v>3566.16</v>
          </cell>
        </row>
        <row r="2188">
          <cell r="A2188" t="str">
            <v>G2939</v>
          </cell>
          <cell r="B2188" t="str">
            <v>D</v>
          </cell>
          <cell r="C2188">
            <v>35.700000000000003</v>
          </cell>
        </row>
        <row r="2189">
          <cell r="A2189" t="str">
            <v>G2940</v>
          </cell>
          <cell r="B2189" t="str">
            <v>D</v>
          </cell>
          <cell r="C2189">
            <v>41.96</v>
          </cell>
        </row>
        <row r="2190">
          <cell r="A2190" t="str">
            <v>G2943</v>
          </cell>
          <cell r="B2190" t="str">
            <v>D</v>
          </cell>
          <cell r="C2190">
            <v>27.9</v>
          </cell>
        </row>
        <row r="2191">
          <cell r="A2191" t="str">
            <v>AF2944</v>
          </cell>
          <cell r="B2191" t="str">
            <v>D</v>
          </cell>
          <cell r="C2191">
            <v>29.26</v>
          </cell>
        </row>
        <row r="2192">
          <cell r="A2192" t="str">
            <v>G2945</v>
          </cell>
          <cell r="B2192" t="str">
            <v>D</v>
          </cell>
          <cell r="C2192">
            <v>28.05</v>
          </cell>
        </row>
        <row r="2193">
          <cell r="A2193" t="str">
            <v>G2946</v>
          </cell>
          <cell r="B2193" t="str">
            <v>C</v>
          </cell>
          <cell r="C2193">
            <v>36.04</v>
          </cell>
        </row>
        <row r="2194">
          <cell r="A2194" t="str">
            <v>G2947</v>
          </cell>
          <cell r="B2194" t="str">
            <v>D</v>
          </cell>
          <cell r="C2194">
            <v>30.07</v>
          </cell>
        </row>
        <row r="2195">
          <cell r="A2195" t="str">
            <v>LAF2947</v>
          </cell>
          <cell r="B2195" t="str">
            <v>A</v>
          </cell>
          <cell r="C2195">
            <v>39.39</v>
          </cell>
        </row>
        <row r="2196">
          <cell r="A2196" t="str">
            <v>G2950</v>
          </cell>
          <cell r="B2196" t="str">
            <v>D</v>
          </cell>
          <cell r="C2196">
            <v>6.47</v>
          </cell>
        </row>
        <row r="2197">
          <cell r="A2197" t="str">
            <v>G2953</v>
          </cell>
          <cell r="B2197" t="str">
            <v>D</v>
          </cell>
          <cell r="C2197">
            <v>31.71</v>
          </cell>
        </row>
        <row r="2198">
          <cell r="A2198" t="str">
            <v>G2954</v>
          </cell>
          <cell r="B2198" t="str">
            <v>D</v>
          </cell>
          <cell r="C2198">
            <v>6.59</v>
          </cell>
        </row>
        <row r="2199">
          <cell r="A2199" t="str">
            <v>G2955</v>
          </cell>
          <cell r="B2199" t="str">
            <v>D</v>
          </cell>
          <cell r="C2199">
            <v>9.7799999999999994</v>
          </cell>
        </row>
        <row r="2200">
          <cell r="A2200" t="str">
            <v>AF2956</v>
          </cell>
          <cell r="B2200" t="str">
            <v>A</v>
          </cell>
          <cell r="C2200">
            <v>16.96</v>
          </cell>
        </row>
        <row r="2201">
          <cell r="A2201" t="str">
            <v>G2956</v>
          </cell>
          <cell r="B2201" t="str">
            <v>D</v>
          </cell>
          <cell r="C2201">
            <v>26.99</v>
          </cell>
        </row>
        <row r="2202">
          <cell r="A2202" t="str">
            <v>G2957</v>
          </cell>
          <cell r="B2202" t="str">
            <v>D</v>
          </cell>
          <cell r="C2202">
            <v>31.49</v>
          </cell>
        </row>
        <row r="2203">
          <cell r="A2203" t="str">
            <v>G2958</v>
          </cell>
          <cell r="B2203" t="str">
            <v>D</v>
          </cell>
          <cell r="C2203">
            <v>30.09</v>
          </cell>
        </row>
        <row r="2204">
          <cell r="A2204" t="str">
            <v>G2959</v>
          </cell>
          <cell r="B2204" t="str">
            <v>D</v>
          </cell>
          <cell r="C2204">
            <v>26.95</v>
          </cell>
        </row>
        <row r="2205">
          <cell r="A2205" t="str">
            <v>LAF2959</v>
          </cell>
          <cell r="B2205" t="str">
            <v>D</v>
          </cell>
          <cell r="C2205">
            <v>134.12</v>
          </cell>
        </row>
        <row r="2206">
          <cell r="A2206" t="str">
            <v>G2960</v>
          </cell>
          <cell r="B2206" t="str">
            <v>D</v>
          </cell>
          <cell r="C2206">
            <v>12.73</v>
          </cell>
        </row>
        <row r="2207">
          <cell r="A2207" t="str">
            <v>G2961</v>
          </cell>
          <cell r="B2207" t="str">
            <v>D</v>
          </cell>
          <cell r="C2207">
            <v>5.0999999999999996</v>
          </cell>
        </row>
        <row r="2208">
          <cell r="A2208" t="str">
            <v>AF2962</v>
          </cell>
          <cell r="B2208" t="str">
            <v>D</v>
          </cell>
          <cell r="C2208">
            <v>19.18</v>
          </cell>
        </row>
        <row r="2209">
          <cell r="A2209" t="str">
            <v>G2962</v>
          </cell>
          <cell r="B2209" t="str">
            <v>D</v>
          </cell>
          <cell r="C2209">
            <v>26.12</v>
          </cell>
        </row>
        <row r="2210">
          <cell r="A2210" t="str">
            <v>G2963</v>
          </cell>
          <cell r="B2210" t="str">
            <v>D</v>
          </cell>
          <cell r="C2210">
            <v>10.48</v>
          </cell>
        </row>
        <row r="2211">
          <cell r="A2211" t="str">
            <v>G2964</v>
          </cell>
          <cell r="B2211" t="str">
            <v>D</v>
          </cell>
          <cell r="C2211">
            <v>24.92</v>
          </cell>
        </row>
        <row r="2212">
          <cell r="A2212" t="str">
            <v>G2966</v>
          </cell>
          <cell r="B2212" t="str">
            <v>D</v>
          </cell>
          <cell r="C2212">
            <v>24.99</v>
          </cell>
        </row>
        <row r="2213">
          <cell r="A2213">
            <v>2967</v>
          </cell>
          <cell r="B2213" t="str">
            <v>D</v>
          </cell>
          <cell r="C2213">
            <v>34.44</v>
          </cell>
        </row>
        <row r="2214">
          <cell r="A2214" t="str">
            <v>G2967</v>
          </cell>
          <cell r="B2214" t="str">
            <v>D</v>
          </cell>
          <cell r="C2214">
            <v>28.9</v>
          </cell>
        </row>
        <row r="2215">
          <cell r="A2215" t="str">
            <v>G2968</v>
          </cell>
          <cell r="B2215" t="str">
            <v>D</v>
          </cell>
          <cell r="C2215">
            <v>28.66</v>
          </cell>
        </row>
        <row r="2216">
          <cell r="A2216" t="str">
            <v>G2969</v>
          </cell>
          <cell r="B2216" t="str">
            <v>D</v>
          </cell>
          <cell r="C2216">
            <v>15.12</v>
          </cell>
        </row>
        <row r="2217">
          <cell r="A2217" t="str">
            <v>G2972</v>
          </cell>
          <cell r="B2217" t="str">
            <v>D</v>
          </cell>
          <cell r="C2217">
            <v>6.65</v>
          </cell>
        </row>
        <row r="2218">
          <cell r="A2218" t="str">
            <v>G2973</v>
          </cell>
          <cell r="B2218" t="str">
            <v>D</v>
          </cell>
          <cell r="C2218">
            <v>29</v>
          </cell>
        </row>
        <row r="2219">
          <cell r="A2219" t="str">
            <v>G2974</v>
          </cell>
          <cell r="B2219" t="str">
            <v>D</v>
          </cell>
          <cell r="C2219">
            <v>29.1</v>
          </cell>
        </row>
        <row r="2220">
          <cell r="A2220" t="str">
            <v>AF2975</v>
          </cell>
          <cell r="B2220" t="str">
            <v>D</v>
          </cell>
          <cell r="C2220">
            <v>43.27</v>
          </cell>
        </row>
        <row r="2221">
          <cell r="A2221" t="str">
            <v>G2975</v>
          </cell>
          <cell r="B2221" t="str">
            <v>D</v>
          </cell>
          <cell r="C2221">
            <v>26.86</v>
          </cell>
        </row>
        <row r="2222">
          <cell r="A2222" t="str">
            <v>G2977</v>
          </cell>
          <cell r="B2222" t="str">
            <v>D</v>
          </cell>
          <cell r="C2222">
            <v>7.74</v>
          </cell>
        </row>
        <row r="2223">
          <cell r="A2223" t="str">
            <v>G2978</v>
          </cell>
          <cell r="B2223" t="str">
            <v>D</v>
          </cell>
          <cell r="C2223">
            <v>5.66</v>
          </cell>
        </row>
        <row r="2224">
          <cell r="A2224" t="str">
            <v>G2980</v>
          </cell>
          <cell r="B2224" t="str">
            <v>D</v>
          </cell>
          <cell r="C2224">
            <v>30.17</v>
          </cell>
        </row>
        <row r="2225">
          <cell r="A2225" t="str">
            <v>G2982</v>
          </cell>
          <cell r="B2225" t="str">
            <v>D</v>
          </cell>
          <cell r="C2225">
            <v>32.03</v>
          </cell>
        </row>
        <row r="2226">
          <cell r="A2226" t="str">
            <v>G2983</v>
          </cell>
          <cell r="B2226" t="str">
            <v>D</v>
          </cell>
          <cell r="C2226">
            <v>29.82</v>
          </cell>
        </row>
        <row r="2227">
          <cell r="A2227">
            <v>2984</v>
          </cell>
          <cell r="B2227" t="str">
            <v>D</v>
          </cell>
          <cell r="C2227">
            <v>3391.89</v>
          </cell>
        </row>
        <row r="2228">
          <cell r="A2228" t="str">
            <v>G2984</v>
          </cell>
          <cell r="B2228" t="str">
            <v>D</v>
          </cell>
          <cell r="C2228">
            <v>5.41</v>
          </cell>
        </row>
        <row r="2229">
          <cell r="A2229" t="str">
            <v>G2985</v>
          </cell>
          <cell r="B2229" t="str">
            <v>D</v>
          </cell>
          <cell r="C2229">
            <v>25.86</v>
          </cell>
        </row>
        <row r="2230">
          <cell r="A2230" t="str">
            <v>L2986F</v>
          </cell>
          <cell r="B2230" t="str">
            <v>D</v>
          </cell>
          <cell r="C2230">
            <v>66.459999999999994</v>
          </cell>
        </row>
        <row r="2231">
          <cell r="A2231" t="str">
            <v>G2987</v>
          </cell>
          <cell r="B2231" t="str">
            <v>D</v>
          </cell>
          <cell r="C2231">
            <v>53.51</v>
          </cell>
        </row>
        <row r="2232">
          <cell r="A2232" t="str">
            <v>G2990</v>
          </cell>
          <cell r="B2232" t="str">
            <v>D</v>
          </cell>
          <cell r="C2232">
            <v>6.02</v>
          </cell>
        </row>
        <row r="2233">
          <cell r="A2233" t="str">
            <v>G2991</v>
          </cell>
          <cell r="B2233" t="str">
            <v>D</v>
          </cell>
          <cell r="C2233">
            <v>19.03</v>
          </cell>
        </row>
        <row r="2234">
          <cell r="A2234" t="str">
            <v>PH2992</v>
          </cell>
          <cell r="B2234" t="str">
            <v>D</v>
          </cell>
          <cell r="C2234">
            <v>19.739999999999998</v>
          </cell>
        </row>
        <row r="2235">
          <cell r="A2235" t="str">
            <v>G2998</v>
          </cell>
          <cell r="B2235" t="str">
            <v>D</v>
          </cell>
          <cell r="C2235">
            <v>13.3</v>
          </cell>
        </row>
        <row r="2236">
          <cell r="A2236" t="str">
            <v>LFP2999</v>
          </cell>
          <cell r="B2236" t="str">
            <v>A</v>
          </cell>
          <cell r="C2236">
            <v>9.16</v>
          </cell>
        </row>
        <row r="2237">
          <cell r="A2237" t="str">
            <v>LFP3000</v>
          </cell>
          <cell r="B2237" t="str">
            <v>A</v>
          </cell>
          <cell r="C2237">
            <v>30.28</v>
          </cell>
        </row>
        <row r="2238">
          <cell r="A2238" t="str">
            <v>LFP3000XL</v>
          </cell>
          <cell r="B2238" t="str">
            <v>A</v>
          </cell>
          <cell r="C2238">
            <v>47.92</v>
          </cell>
        </row>
        <row r="2239">
          <cell r="A2239" t="str">
            <v>LH3029V</v>
          </cell>
          <cell r="B2239" t="str">
            <v>N</v>
          </cell>
          <cell r="C2239">
            <v>85.85</v>
          </cell>
        </row>
        <row r="2240">
          <cell r="A2240">
            <v>3035</v>
          </cell>
          <cell r="B2240" t="str">
            <v>D</v>
          </cell>
          <cell r="C2240">
            <v>3515.85</v>
          </cell>
        </row>
        <row r="2241">
          <cell r="A2241" t="str">
            <v>LH3035V</v>
          </cell>
          <cell r="B2241" t="str">
            <v>N</v>
          </cell>
          <cell r="C2241">
            <v>89.12</v>
          </cell>
        </row>
        <row r="2242">
          <cell r="A2242">
            <v>3036</v>
          </cell>
          <cell r="B2242" t="str">
            <v>D</v>
          </cell>
          <cell r="C2242">
            <v>3287.38</v>
          </cell>
        </row>
        <row r="2243">
          <cell r="A2243" t="str">
            <v>P3040</v>
          </cell>
          <cell r="B2243" t="str">
            <v>C</v>
          </cell>
          <cell r="C2243">
            <v>15.27</v>
          </cell>
        </row>
        <row r="2244">
          <cell r="A2244" t="str">
            <v>LH3042V</v>
          </cell>
          <cell r="B2244" t="str">
            <v>N</v>
          </cell>
          <cell r="C2244">
            <v>135.65</v>
          </cell>
        </row>
        <row r="2245">
          <cell r="A2245" t="str">
            <v>LAF3048</v>
          </cell>
          <cell r="B2245" t="str">
            <v>D</v>
          </cell>
          <cell r="C2245">
            <v>125.27</v>
          </cell>
        </row>
        <row r="2246">
          <cell r="A2246" t="str">
            <v>LFP3050</v>
          </cell>
          <cell r="B2246" t="str">
            <v>N</v>
          </cell>
          <cell r="C2246">
            <v>17.38</v>
          </cell>
        </row>
        <row r="2247">
          <cell r="A2247" t="str">
            <v>AF3054</v>
          </cell>
          <cell r="B2247" t="str">
            <v>D</v>
          </cell>
          <cell r="C2247">
            <v>16.86</v>
          </cell>
        </row>
        <row r="2248">
          <cell r="A2248" t="str">
            <v>AF3076</v>
          </cell>
          <cell r="B2248" t="str">
            <v>D</v>
          </cell>
          <cell r="C2248">
            <v>28.97</v>
          </cell>
        </row>
        <row r="2249">
          <cell r="A2249" t="str">
            <v>AF3077</v>
          </cell>
          <cell r="B2249" t="str">
            <v>D</v>
          </cell>
          <cell r="C2249">
            <v>89.94</v>
          </cell>
        </row>
        <row r="2250">
          <cell r="A2250" t="str">
            <v>AF3083</v>
          </cell>
          <cell r="B2250" t="str">
            <v>B</v>
          </cell>
          <cell r="C2250">
            <v>24.65</v>
          </cell>
        </row>
        <row r="2251">
          <cell r="A2251" t="str">
            <v>AF3095</v>
          </cell>
          <cell r="B2251" t="str">
            <v>D</v>
          </cell>
          <cell r="C2251">
            <v>19.63</v>
          </cell>
        </row>
        <row r="2252">
          <cell r="A2252" t="str">
            <v>AF3096</v>
          </cell>
          <cell r="B2252" t="str">
            <v>D</v>
          </cell>
          <cell r="C2252">
            <v>13.76</v>
          </cell>
        </row>
        <row r="2253">
          <cell r="A2253" t="str">
            <v>AF3099</v>
          </cell>
          <cell r="B2253" t="str">
            <v>N</v>
          </cell>
          <cell r="C2253">
            <v>47.74</v>
          </cell>
        </row>
        <row r="2254">
          <cell r="A2254" t="str">
            <v>L3101F</v>
          </cell>
          <cell r="B2254" t="str">
            <v>C</v>
          </cell>
          <cell r="C2254">
            <v>26.64</v>
          </cell>
        </row>
        <row r="2255">
          <cell r="A2255" t="str">
            <v>L3102F</v>
          </cell>
          <cell r="B2255" t="str">
            <v>C</v>
          </cell>
          <cell r="C2255">
            <v>23.35</v>
          </cell>
        </row>
        <row r="2256">
          <cell r="A2256" t="str">
            <v>L3103F</v>
          </cell>
          <cell r="B2256" t="str">
            <v>D</v>
          </cell>
          <cell r="C2256">
            <v>45.23</v>
          </cell>
        </row>
        <row r="2257">
          <cell r="A2257">
            <v>3104</v>
          </cell>
          <cell r="B2257" t="str">
            <v>D</v>
          </cell>
          <cell r="C2257">
            <v>6.29</v>
          </cell>
        </row>
        <row r="2258">
          <cell r="A2258" t="str">
            <v>AF3105</v>
          </cell>
          <cell r="B2258" t="str">
            <v>N</v>
          </cell>
          <cell r="C2258">
            <v>55.94</v>
          </cell>
        </row>
        <row r="2259">
          <cell r="A2259" t="str">
            <v>AF3106</v>
          </cell>
          <cell r="B2259" t="str">
            <v>D</v>
          </cell>
          <cell r="C2259">
            <v>60.91</v>
          </cell>
        </row>
        <row r="2260">
          <cell r="A2260" t="str">
            <v>LAF3119</v>
          </cell>
          <cell r="B2260" t="str">
            <v>D</v>
          </cell>
          <cell r="C2260">
            <v>19.48</v>
          </cell>
        </row>
        <row r="2261">
          <cell r="A2261" t="str">
            <v>AF3128</v>
          </cell>
          <cell r="B2261" t="str">
            <v>D</v>
          </cell>
          <cell r="C2261">
            <v>10.63</v>
          </cell>
        </row>
        <row r="2262">
          <cell r="A2262">
            <v>3131</v>
          </cell>
          <cell r="B2262" t="str">
            <v>D</v>
          </cell>
          <cell r="C2262">
            <v>366.71</v>
          </cell>
        </row>
        <row r="2263">
          <cell r="A2263">
            <v>3132</v>
          </cell>
          <cell r="B2263" t="str">
            <v>D</v>
          </cell>
          <cell r="C2263">
            <v>511.46</v>
          </cell>
        </row>
        <row r="2264">
          <cell r="A2264" t="str">
            <v>3132 UNPAINTED</v>
          </cell>
          <cell r="B2264" t="str">
            <v>D</v>
          </cell>
          <cell r="C2264">
            <v>476.45</v>
          </cell>
        </row>
        <row r="2265">
          <cell r="A2265" t="str">
            <v>AF3138</v>
          </cell>
          <cell r="B2265" t="str">
            <v>A</v>
          </cell>
          <cell r="C2265">
            <v>14.51</v>
          </cell>
        </row>
        <row r="2266">
          <cell r="A2266" t="str">
            <v>AF3139</v>
          </cell>
          <cell r="B2266" t="str">
            <v>D</v>
          </cell>
          <cell r="C2266">
            <v>15.05</v>
          </cell>
        </row>
        <row r="2267">
          <cell r="A2267" t="str">
            <v>LAF3141</v>
          </cell>
          <cell r="B2267" t="str">
            <v>A</v>
          </cell>
          <cell r="C2267">
            <v>25.86</v>
          </cell>
        </row>
        <row r="2268">
          <cell r="A2268" t="str">
            <v>AF3145</v>
          </cell>
          <cell r="B2268" t="str">
            <v>D</v>
          </cell>
          <cell r="C2268">
            <v>15.75</v>
          </cell>
        </row>
        <row r="2269">
          <cell r="A2269" t="str">
            <v>AF3148</v>
          </cell>
          <cell r="B2269" t="str">
            <v>D</v>
          </cell>
          <cell r="C2269">
            <v>8.74</v>
          </cell>
        </row>
        <row r="2270">
          <cell r="A2270" t="str">
            <v>AF3171</v>
          </cell>
          <cell r="B2270" t="str">
            <v>N</v>
          </cell>
          <cell r="C2270">
            <v>30.02</v>
          </cell>
        </row>
        <row r="2271">
          <cell r="A2271" t="str">
            <v>AF3173</v>
          </cell>
          <cell r="B2271" t="str">
            <v>D</v>
          </cell>
          <cell r="C2271">
            <v>20.51</v>
          </cell>
        </row>
        <row r="2272">
          <cell r="A2272" t="str">
            <v>AF3174</v>
          </cell>
          <cell r="B2272" t="str">
            <v>D</v>
          </cell>
          <cell r="C2272">
            <v>9.43</v>
          </cell>
        </row>
        <row r="2273">
          <cell r="A2273" t="str">
            <v>AF3184</v>
          </cell>
          <cell r="B2273" t="str">
            <v>N</v>
          </cell>
          <cell r="C2273">
            <v>16.37</v>
          </cell>
        </row>
        <row r="2274">
          <cell r="A2274" t="str">
            <v>LFP3191</v>
          </cell>
          <cell r="B2274" t="str">
            <v>A</v>
          </cell>
          <cell r="C2274">
            <v>9.81</v>
          </cell>
        </row>
        <row r="2275">
          <cell r="A2275" t="str">
            <v>LFP3191TRT</v>
          </cell>
          <cell r="B2275" t="str">
            <v>D</v>
          </cell>
          <cell r="C2275">
            <v>54.85</v>
          </cell>
        </row>
        <row r="2276">
          <cell r="A2276" t="str">
            <v>LFP3191XL</v>
          </cell>
          <cell r="B2276" t="str">
            <v>C</v>
          </cell>
          <cell r="C2276">
            <v>40.65</v>
          </cell>
        </row>
        <row r="2277">
          <cell r="A2277" t="str">
            <v>LFP3200C</v>
          </cell>
          <cell r="B2277" t="str">
            <v>D</v>
          </cell>
          <cell r="C2277">
            <v>27.09</v>
          </cell>
        </row>
        <row r="2278">
          <cell r="A2278" t="str">
            <v>LFP3200K</v>
          </cell>
          <cell r="B2278" t="str">
            <v>D</v>
          </cell>
          <cell r="C2278">
            <v>77.84</v>
          </cell>
        </row>
        <row r="2279">
          <cell r="A2279" t="str">
            <v>LAF3214</v>
          </cell>
          <cell r="B2279" t="str">
            <v>D</v>
          </cell>
          <cell r="C2279">
            <v>41.83</v>
          </cell>
        </row>
        <row r="2280">
          <cell r="A2280" t="str">
            <v>AF3216</v>
          </cell>
          <cell r="B2280" t="str">
            <v>B</v>
          </cell>
          <cell r="C2280">
            <v>17.84</v>
          </cell>
        </row>
        <row r="2281">
          <cell r="A2281" t="str">
            <v>AF3217</v>
          </cell>
          <cell r="B2281" t="str">
            <v>D</v>
          </cell>
          <cell r="C2281">
            <v>22.06</v>
          </cell>
        </row>
        <row r="2282">
          <cell r="A2282" t="str">
            <v>AF3218</v>
          </cell>
          <cell r="B2282" t="str">
            <v>D</v>
          </cell>
          <cell r="C2282">
            <v>42.71</v>
          </cell>
        </row>
        <row r="2283">
          <cell r="A2283" t="str">
            <v>AF3219</v>
          </cell>
          <cell r="B2283" t="str">
            <v>D</v>
          </cell>
          <cell r="C2283">
            <v>32.96</v>
          </cell>
        </row>
        <row r="2284">
          <cell r="A2284" t="str">
            <v>AF3220</v>
          </cell>
          <cell r="B2284" t="str">
            <v>D</v>
          </cell>
          <cell r="C2284">
            <v>26.05</v>
          </cell>
        </row>
        <row r="2285">
          <cell r="A2285" t="str">
            <v>AF3221</v>
          </cell>
          <cell r="B2285" t="str">
            <v>N</v>
          </cell>
          <cell r="C2285">
            <v>38.26</v>
          </cell>
        </row>
        <row r="2286">
          <cell r="A2286" t="str">
            <v>LAF3232</v>
          </cell>
          <cell r="B2286" t="str">
            <v>D</v>
          </cell>
          <cell r="C2286">
            <v>69.47</v>
          </cell>
        </row>
        <row r="2287">
          <cell r="A2287" t="str">
            <v>LAF3233</v>
          </cell>
          <cell r="B2287" t="str">
            <v>B</v>
          </cell>
          <cell r="C2287">
            <v>82.23</v>
          </cell>
        </row>
        <row r="2288">
          <cell r="A2288" t="str">
            <v>LAF3233FR</v>
          </cell>
          <cell r="B2288" t="str">
            <v>N</v>
          </cell>
          <cell r="C2288">
            <v>99.35</v>
          </cell>
        </row>
        <row r="2289">
          <cell r="A2289" t="str">
            <v>LAF3234</v>
          </cell>
          <cell r="B2289" t="str">
            <v>D</v>
          </cell>
          <cell r="C2289">
            <v>19.86</v>
          </cell>
        </row>
        <row r="2290">
          <cell r="A2290" t="str">
            <v>LAF3236</v>
          </cell>
          <cell r="B2290" t="str">
            <v>D</v>
          </cell>
          <cell r="C2290">
            <v>73.84</v>
          </cell>
        </row>
        <row r="2291">
          <cell r="A2291" t="str">
            <v>LFP3236</v>
          </cell>
          <cell r="B2291" t="str">
            <v>A</v>
          </cell>
          <cell r="C2291">
            <v>11.23</v>
          </cell>
        </row>
        <row r="2292">
          <cell r="A2292" t="str">
            <v>LFP3236TRT</v>
          </cell>
          <cell r="B2292" t="str">
            <v>D</v>
          </cell>
          <cell r="C2292">
            <v>56.51</v>
          </cell>
        </row>
        <row r="2293">
          <cell r="A2293" t="str">
            <v>LAF3237</v>
          </cell>
          <cell r="B2293" t="str">
            <v>D</v>
          </cell>
          <cell r="C2293">
            <v>48</v>
          </cell>
        </row>
        <row r="2294">
          <cell r="A2294" t="str">
            <v>P3244</v>
          </cell>
          <cell r="B2294" t="str">
            <v>A</v>
          </cell>
          <cell r="C2294">
            <v>8.64</v>
          </cell>
        </row>
        <row r="2295">
          <cell r="A2295" t="str">
            <v>AF3245</v>
          </cell>
          <cell r="B2295" t="str">
            <v>D</v>
          </cell>
          <cell r="C2295">
            <v>18.07</v>
          </cell>
        </row>
        <row r="2296">
          <cell r="A2296">
            <v>3248</v>
          </cell>
          <cell r="B2296" t="str">
            <v>D</v>
          </cell>
          <cell r="C2296">
            <v>11.43</v>
          </cell>
        </row>
        <row r="2297">
          <cell r="A2297">
            <v>3250</v>
          </cell>
          <cell r="B2297" t="str">
            <v>D</v>
          </cell>
          <cell r="C2297">
            <v>530.77</v>
          </cell>
        </row>
        <row r="2298">
          <cell r="A2298">
            <v>3256</v>
          </cell>
          <cell r="B2298" t="str">
            <v>D</v>
          </cell>
          <cell r="C2298">
            <v>34.32</v>
          </cell>
        </row>
        <row r="2299">
          <cell r="A2299">
            <v>3257</v>
          </cell>
          <cell r="B2299" t="str">
            <v>D</v>
          </cell>
          <cell r="C2299">
            <v>49.7</v>
          </cell>
        </row>
        <row r="2300">
          <cell r="A2300" t="str">
            <v>LFF3257</v>
          </cell>
          <cell r="B2300" t="str">
            <v>D</v>
          </cell>
          <cell r="C2300">
            <v>73.680000000000007</v>
          </cell>
        </row>
        <row r="2301">
          <cell r="A2301" t="str">
            <v>L3258F</v>
          </cell>
          <cell r="B2301" t="str">
            <v>D</v>
          </cell>
          <cell r="C2301">
            <v>77.91</v>
          </cell>
        </row>
        <row r="2302">
          <cell r="A2302">
            <v>3280</v>
          </cell>
          <cell r="B2302" t="str">
            <v>D</v>
          </cell>
          <cell r="C2302">
            <v>580.65</v>
          </cell>
        </row>
        <row r="2303">
          <cell r="A2303">
            <v>3282</v>
          </cell>
          <cell r="B2303" t="str">
            <v>D</v>
          </cell>
          <cell r="C2303">
            <v>106.19</v>
          </cell>
        </row>
        <row r="2304">
          <cell r="A2304">
            <v>3289</v>
          </cell>
          <cell r="B2304" t="str">
            <v>D</v>
          </cell>
          <cell r="C2304">
            <v>183.26</v>
          </cell>
        </row>
        <row r="2305">
          <cell r="A2305" t="str">
            <v>LFF3290</v>
          </cell>
          <cell r="B2305" t="str">
            <v>D</v>
          </cell>
          <cell r="C2305">
            <v>28.39</v>
          </cell>
        </row>
        <row r="2306">
          <cell r="A2306" t="str">
            <v>LFF3291</v>
          </cell>
          <cell r="B2306" t="str">
            <v>D</v>
          </cell>
          <cell r="C2306">
            <v>21.34</v>
          </cell>
        </row>
        <row r="2307">
          <cell r="A2307" t="str">
            <v>LFF3292</v>
          </cell>
          <cell r="B2307" t="str">
            <v>C</v>
          </cell>
          <cell r="C2307">
            <v>28.37</v>
          </cell>
        </row>
        <row r="2308">
          <cell r="A2308" t="str">
            <v>LFF3293</v>
          </cell>
          <cell r="B2308" t="str">
            <v>C</v>
          </cell>
          <cell r="C2308">
            <v>78.87</v>
          </cell>
        </row>
        <row r="2309">
          <cell r="A2309" t="str">
            <v>LFF3294</v>
          </cell>
          <cell r="B2309" t="str">
            <v>N</v>
          </cell>
          <cell r="C2309">
            <v>34.57</v>
          </cell>
        </row>
        <row r="2310">
          <cell r="A2310">
            <v>3299</v>
          </cell>
          <cell r="B2310" t="str">
            <v>D</v>
          </cell>
          <cell r="C2310">
            <v>202.12</v>
          </cell>
        </row>
        <row r="2311">
          <cell r="A2311" t="str">
            <v>LFP3301F</v>
          </cell>
          <cell r="B2311" t="str">
            <v>B</v>
          </cell>
          <cell r="C2311">
            <v>9.49</v>
          </cell>
        </row>
        <row r="2312">
          <cell r="A2312" t="str">
            <v>LAF3302</v>
          </cell>
          <cell r="B2312" t="str">
            <v>A</v>
          </cell>
          <cell r="C2312">
            <v>99.06</v>
          </cell>
        </row>
        <row r="2313">
          <cell r="A2313" t="str">
            <v>LFP3307</v>
          </cell>
          <cell r="B2313" t="str">
            <v>A</v>
          </cell>
          <cell r="C2313">
            <v>25.52</v>
          </cell>
        </row>
        <row r="2314">
          <cell r="A2314">
            <v>3315</v>
          </cell>
          <cell r="B2314" t="str">
            <v>D</v>
          </cell>
          <cell r="C2314">
            <v>166.89</v>
          </cell>
        </row>
        <row r="2315">
          <cell r="A2315">
            <v>3325</v>
          </cell>
          <cell r="B2315" t="str">
            <v>D</v>
          </cell>
          <cell r="C2315">
            <v>582.73</v>
          </cell>
        </row>
        <row r="2316">
          <cell r="A2316">
            <v>3326</v>
          </cell>
          <cell r="B2316" t="str">
            <v>D</v>
          </cell>
          <cell r="C2316">
            <v>538.02</v>
          </cell>
        </row>
        <row r="2317">
          <cell r="A2317">
            <v>3327</v>
          </cell>
          <cell r="B2317" t="str">
            <v>D</v>
          </cell>
          <cell r="C2317">
            <v>691.38</v>
          </cell>
        </row>
        <row r="2318">
          <cell r="A2318">
            <v>3335</v>
          </cell>
          <cell r="B2318" t="str">
            <v>D</v>
          </cell>
          <cell r="C2318">
            <v>502.92</v>
          </cell>
        </row>
        <row r="2319">
          <cell r="A2319">
            <v>3336</v>
          </cell>
          <cell r="B2319" t="str">
            <v>D</v>
          </cell>
          <cell r="C2319">
            <v>572.96</v>
          </cell>
        </row>
        <row r="2320">
          <cell r="A2320" t="str">
            <v>LFF3343</v>
          </cell>
          <cell r="B2320" t="str">
            <v>D</v>
          </cell>
          <cell r="C2320">
            <v>22.3</v>
          </cell>
        </row>
        <row r="2321">
          <cell r="A2321" t="str">
            <v>LAF3344</v>
          </cell>
          <cell r="B2321" t="str">
            <v>D</v>
          </cell>
          <cell r="C2321">
            <v>82.08</v>
          </cell>
        </row>
        <row r="2322">
          <cell r="A2322" t="str">
            <v>LAF3346</v>
          </cell>
          <cell r="B2322" t="str">
            <v>D</v>
          </cell>
          <cell r="C2322">
            <v>54.54</v>
          </cell>
        </row>
        <row r="2323">
          <cell r="A2323" t="str">
            <v>LFF3347</v>
          </cell>
          <cell r="B2323" t="str">
            <v>B</v>
          </cell>
          <cell r="C2323">
            <v>12.06</v>
          </cell>
        </row>
        <row r="2324">
          <cell r="A2324" t="str">
            <v>LFF3349</v>
          </cell>
          <cell r="B2324" t="str">
            <v>A</v>
          </cell>
          <cell r="C2324">
            <v>12.33</v>
          </cell>
        </row>
        <row r="2325">
          <cell r="A2325" t="str">
            <v>LAF3350</v>
          </cell>
          <cell r="B2325" t="str">
            <v>D</v>
          </cell>
          <cell r="C2325">
            <v>11.35</v>
          </cell>
        </row>
        <row r="2326">
          <cell r="A2326" t="str">
            <v>LAF3352</v>
          </cell>
          <cell r="B2326" t="str">
            <v>D</v>
          </cell>
          <cell r="C2326">
            <v>117.74</v>
          </cell>
        </row>
        <row r="2327">
          <cell r="A2327" t="str">
            <v>LFP3354</v>
          </cell>
          <cell r="B2327" t="str">
            <v>D</v>
          </cell>
          <cell r="C2327">
            <v>23.34</v>
          </cell>
        </row>
        <row r="2328">
          <cell r="A2328" t="str">
            <v>LFF3358</v>
          </cell>
          <cell r="B2328" t="str">
            <v>C</v>
          </cell>
          <cell r="C2328">
            <v>46.14</v>
          </cell>
        </row>
        <row r="2329">
          <cell r="A2329" t="str">
            <v>LP3361</v>
          </cell>
          <cell r="B2329" t="str">
            <v>D</v>
          </cell>
          <cell r="C2329">
            <v>61.49</v>
          </cell>
        </row>
        <row r="2330">
          <cell r="A2330" t="str">
            <v>LP3362</v>
          </cell>
          <cell r="B2330" t="str">
            <v>D</v>
          </cell>
          <cell r="C2330">
            <v>206.14</v>
          </cell>
        </row>
        <row r="2331">
          <cell r="A2331" t="str">
            <v>LP3365</v>
          </cell>
          <cell r="B2331" t="str">
            <v>D</v>
          </cell>
          <cell r="C2331">
            <v>34.64</v>
          </cell>
        </row>
        <row r="2332">
          <cell r="A2332" t="str">
            <v>LFF3368</v>
          </cell>
          <cell r="B2332" t="str">
            <v>N</v>
          </cell>
          <cell r="C2332">
            <v>54.12</v>
          </cell>
        </row>
        <row r="2333">
          <cell r="A2333">
            <v>3371</v>
          </cell>
          <cell r="B2333" t="str">
            <v>D</v>
          </cell>
          <cell r="C2333">
            <v>516.84</v>
          </cell>
        </row>
        <row r="2334">
          <cell r="A2334">
            <v>3374</v>
          </cell>
          <cell r="B2334" t="str">
            <v>D</v>
          </cell>
          <cell r="C2334">
            <v>533.16</v>
          </cell>
        </row>
        <row r="2335">
          <cell r="A2335">
            <v>3378</v>
          </cell>
          <cell r="B2335" t="str">
            <v>D</v>
          </cell>
          <cell r="C2335">
            <v>490.89</v>
          </cell>
        </row>
        <row r="2336">
          <cell r="A2336">
            <v>3392</v>
          </cell>
          <cell r="B2336" t="str">
            <v>D</v>
          </cell>
          <cell r="C2336">
            <v>7.4</v>
          </cell>
        </row>
        <row r="2337">
          <cell r="A2337" t="str">
            <v>LFF3396</v>
          </cell>
          <cell r="B2337" t="str">
            <v>N</v>
          </cell>
          <cell r="C2337">
            <v>28.08</v>
          </cell>
        </row>
        <row r="2338">
          <cell r="A2338" t="str">
            <v>LAF3398</v>
          </cell>
          <cell r="B2338" t="str">
            <v>D</v>
          </cell>
          <cell r="C2338">
            <v>77.239999999999995</v>
          </cell>
        </row>
        <row r="2339">
          <cell r="A2339" t="str">
            <v>L3401F</v>
          </cell>
          <cell r="B2339" t="str">
            <v>D</v>
          </cell>
          <cell r="C2339">
            <v>9.9600000000000009</v>
          </cell>
        </row>
        <row r="2340">
          <cell r="A2340" t="str">
            <v>LAF3402</v>
          </cell>
          <cell r="B2340" t="str">
            <v>D</v>
          </cell>
          <cell r="C2340">
            <v>60.82</v>
          </cell>
        </row>
        <row r="2341">
          <cell r="A2341" t="str">
            <v>LFF3403</v>
          </cell>
          <cell r="B2341" t="str">
            <v>B</v>
          </cell>
          <cell r="C2341">
            <v>10.43</v>
          </cell>
        </row>
        <row r="2342">
          <cell r="A2342" t="str">
            <v>LFP3404A</v>
          </cell>
          <cell r="B2342" t="str">
            <v>C</v>
          </cell>
          <cell r="C2342">
            <v>9.84</v>
          </cell>
        </row>
        <row r="2343">
          <cell r="A2343" t="str">
            <v>L3405F</v>
          </cell>
          <cell r="B2343" t="str">
            <v>D</v>
          </cell>
          <cell r="C2343">
            <v>10.89</v>
          </cell>
        </row>
        <row r="2344">
          <cell r="A2344" t="str">
            <v>LAF3407</v>
          </cell>
          <cell r="B2344" t="str">
            <v>D</v>
          </cell>
          <cell r="C2344">
            <v>26.32</v>
          </cell>
        </row>
        <row r="2345">
          <cell r="A2345" t="str">
            <v>LFP3411</v>
          </cell>
          <cell r="B2345" t="str">
            <v>C</v>
          </cell>
          <cell r="C2345">
            <v>10.25</v>
          </cell>
        </row>
        <row r="2346">
          <cell r="A2346" t="str">
            <v>LFP3413</v>
          </cell>
          <cell r="B2346" t="str">
            <v>D</v>
          </cell>
          <cell r="C2346">
            <v>9.77</v>
          </cell>
        </row>
        <row r="2347">
          <cell r="A2347" t="str">
            <v>LFF3415</v>
          </cell>
          <cell r="B2347" t="str">
            <v>B</v>
          </cell>
          <cell r="C2347">
            <v>11.03</v>
          </cell>
        </row>
        <row r="2348">
          <cell r="A2348" t="str">
            <v>LFF3416</v>
          </cell>
          <cell r="B2348" t="str">
            <v>D</v>
          </cell>
          <cell r="C2348">
            <v>59.22</v>
          </cell>
        </row>
        <row r="2349">
          <cell r="A2349" t="str">
            <v>LFF3417</v>
          </cell>
          <cell r="B2349" t="str">
            <v>A</v>
          </cell>
          <cell r="C2349">
            <v>12.72</v>
          </cell>
        </row>
        <row r="2350">
          <cell r="A2350" t="str">
            <v>L3418F</v>
          </cell>
          <cell r="B2350" t="str">
            <v>D</v>
          </cell>
          <cell r="C2350">
            <v>24.73</v>
          </cell>
        </row>
        <row r="2351">
          <cell r="A2351" t="str">
            <v>L3419F</v>
          </cell>
          <cell r="B2351" t="str">
            <v>D</v>
          </cell>
          <cell r="C2351">
            <v>9.15</v>
          </cell>
        </row>
        <row r="2352">
          <cell r="A2352" t="str">
            <v>L3420F</v>
          </cell>
          <cell r="B2352" t="str">
            <v>D</v>
          </cell>
          <cell r="C2352">
            <v>99.17</v>
          </cell>
        </row>
        <row r="2353">
          <cell r="A2353" t="str">
            <v>L3441F</v>
          </cell>
          <cell r="B2353" t="str">
            <v>D</v>
          </cell>
          <cell r="C2353">
            <v>37.950000000000003</v>
          </cell>
        </row>
        <row r="2354">
          <cell r="A2354" t="str">
            <v>L3444F</v>
          </cell>
          <cell r="B2354" t="str">
            <v>D</v>
          </cell>
          <cell r="C2354">
            <v>36.200000000000003</v>
          </cell>
        </row>
        <row r="2355">
          <cell r="A2355">
            <v>3467</v>
          </cell>
          <cell r="B2355" t="str">
            <v>D</v>
          </cell>
          <cell r="C2355">
            <v>530.53</v>
          </cell>
        </row>
        <row r="2356">
          <cell r="A2356" t="str">
            <v>LFF3476</v>
          </cell>
          <cell r="B2356" t="str">
            <v>B</v>
          </cell>
          <cell r="C2356">
            <v>14.56</v>
          </cell>
        </row>
        <row r="2357">
          <cell r="A2357" t="str">
            <v>LFF3477</v>
          </cell>
          <cell r="B2357" t="str">
            <v>D</v>
          </cell>
          <cell r="C2357">
            <v>17.48</v>
          </cell>
        </row>
        <row r="2358">
          <cell r="A2358" t="str">
            <v>LAF3496</v>
          </cell>
          <cell r="B2358" t="str">
            <v>D</v>
          </cell>
          <cell r="C2358">
            <v>274.52</v>
          </cell>
        </row>
        <row r="2359">
          <cell r="A2359" t="str">
            <v>LAF3498</v>
          </cell>
          <cell r="B2359" t="str">
            <v>N</v>
          </cell>
          <cell r="C2359">
            <v>108.17</v>
          </cell>
        </row>
        <row r="2360">
          <cell r="A2360" t="str">
            <v>LFF3500</v>
          </cell>
          <cell r="B2360" t="str">
            <v>D</v>
          </cell>
          <cell r="C2360">
            <v>20.86</v>
          </cell>
        </row>
        <row r="2361">
          <cell r="A2361" t="str">
            <v>LFF3501</v>
          </cell>
          <cell r="B2361" t="str">
            <v>B</v>
          </cell>
          <cell r="C2361">
            <v>11.88</v>
          </cell>
        </row>
        <row r="2362">
          <cell r="A2362" t="str">
            <v>LFF3502</v>
          </cell>
          <cell r="B2362" t="str">
            <v>D</v>
          </cell>
          <cell r="C2362">
            <v>12.87</v>
          </cell>
        </row>
        <row r="2363">
          <cell r="A2363" t="str">
            <v>LFF3503</v>
          </cell>
          <cell r="B2363" t="str">
            <v>D</v>
          </cell>
          <cell r="C2363">
            <v>9.36</v>
          </cell>
        </row>
        <row r="2364">
          <cell r="A2364" t="str">
            <v>LFF3504</v>
          </cell>
          <cell r="B2364" t="str">
            <v>B</v>
          </cell>
          <cell r="C2364">
            <v>13.13</v>
          </cell>
        </row>
        <row r="2365">
          <cell r="A2365">
            <v>3505</v>
          </cell>
          <cell r="B2365" t="str">
            <v>D</v>
          </cell>
          <cell r="C2365">
            <v>524.63</v>
          </cell>
        </row>
        <row r="2366">
          <cell r="A2366" t="str">
            <v>LFF3507</v>
          </cell>
          <cell r="B2366" t="str">
            <v>C</v>
          </cell>
          <cell r="C2366">
            <v>12.17</v>
          </cell>
        </row>
        <row r="2367">
          <cell r="A2367" t="str">
            <v>LFF3508</v>
          </cell>
          <cell r="B2367" t="str">
            <v>D</v>
          </cell>
          <cell r="C2367">
            <v>31.02</v>
          </cell>
        </row>
        <row r="2368">
          <cell r="A2368" t="str">
            <v>LFF3509</v>
          </cell>
          <cell r="B2368" t="str">
            <v>D</v>
          </cell>
          <cell r="C2368">
            <v>18.66</v>
          </cell>
        </row>
        <row r="2369">
          <cell r="A2369" t="str">
            <v>LFF3510</v>
          </cell>
          <cell r="B2369" t="str">
            <v>D</v>
          </cell>
          <cell r="C2369">
            <v>21.78</v>
          </cell>
        </row>
        <row r="2370">
          <cell r="A2370" t="str">
            <v>LFF3511</v>
          </cell>
          <cell r="B2370" t="str">
            <v>D</v>
          </cell>
          <cell r="C2370">
            <v>13.69</v>
          </cell>
        </row>
        <row r="2371">
          <cell r="A2371" t="str">
            <v>LFF3512</v>
          </cell>
          <cell r="B2371" t="str">
            <v>D</v>
          </cell>
          <cell r="C2371">
            <v>48.93</v>
          </cell>
        </row>
        <row r="2372">
          <cell r="A2372" t="str">
            <v>LFF3513</v>
          </cell>
          <cell r="B2372" t="str">
            <v>D</v>
          </cell>
          <cell r="C2372">
            <v>24.5</v>
          </cell>
        </row>
        <row r="2373">
          <cell r="A2373" t="str">
            <v>L3514F</v>
          </cell>
          <cell r="B2373" t="str">
            <v>D</v>
          </cell>
          <cell r="C2373">
            <v>15.03</v>
          </cell>
        </row>
        <row r="2374">
          <cell r="A2374" t="str">
            <v>L3515F</v>
          </cell>
          <cell r="B2374" t="str">
            <v>D</v>
          </cell>
          <cell r="C2374">
            <v>19.170000000000002</v>
          </cell>
        </row>
        <row r="2375">
          <cell r="A2375" t="str">
            <v>L3516F</v>
          </cell>
          <cell r="B2375" t="str">
            <v>D</v>
          </cell>
          <cell r="C2375">
            <v>43.48</v>
          </cell>
        </row>
        <row r="2376">
          <cell r="A2376" t="str">
            <v>LFF3517</v>
          </cell>
          <cell r="B2376" t="str">
            <v>D</v>
          </cell>
          <cell r="C2376">
            <v>61.84</v>
          </cell>
        </row>
        <row r="2377">
          <cell r="A2377" t="str">
            <v>LFF3518</v>
          </cell>
          <cell r="B2377" t="str">
            <v>C</v>
          </cell>
          <cell r="C2377">
            <v>19.39</v>
          </cell>
        </row>
        <row r="2378">
          <cell r="A2378" t="str">
            <v>L3519F</v>
          </cell>
          <cell r="B2378" t="str">
            <v>D</v>
          </cell>
          <cell r="C2378">
            <v>22.59</v>
          </cell>
        </row>
        <row r="2379">
          <cell r="A2379" t="str">
            <v>LFF3520</v>
          </cell>
          <cell r="B2379" t="str">
            <v>B</v>
          </cell>
          <cell r="C2379">
            <v>5.53</v>
          </cell>
        </row>
        <row r="2380">
          <cell r="A2380" t="str">
            <v>LFF3521</v>
          </cell>
          <cell r="B2380" t="str">
            <v>A</v>
          </cell>
          <cell r="C2380">
            <v>9.61</v>
          </cell>
        </row>
        <row r="2381">
          <cell r="A2381" t="str">
            <v>L3523F</v>
          </cell>
          <cell r="B2381" t="str">
            <v>C</v>
          </cell>
          <cell r="C2381">
            <v>9.75</v>
          </cell>
        </row>
        <row r="2382">
          <cell r="A2382" t="str">
            <v>L3524F</v>
          </cell>
          <cell r="B2382" t="str">
            <v>D</v>
          </cell>
          <cell r="C2382">
            <v>21.05</v>
          </cell>
        </row>
        <row r="2383">
          <cell r="A2383" t="str">
            <v>L3525F</v>
          </cell>
          <cell r="B2383" t="str">
            <v>D</v>
          </cell>
          <cell r="C2383">
            <v>38.65</v>
          </cell>
        </row>
        <row r="2384">
          <cell r="A2384" t="str">
            <v>LFF3526</v>
          </cell>
          <cell r="B2384" t="str">
            <v>C</v>
          </cell>
          <cell r="C2384">
            <v>9.56</v>
          </cell>
        </row>
        <row r="2385">
          <cell r="A2385" t="str">
            <v>LFF3527</v>
          </cell>
          <cell r="B2385" t="str">
            <v>D</v>
          </cell>
          <cell r="C2385">
            <v>11.27</v>
          </cell>
        </row>
        <row r="2386">
          <cell r="A2386" t="str">
            <v>L3528F</v>
          </cell>
          <cell r="B2386" t="str">
            <v>D</v>
          </cell>
          <cell r="C2386">
            <v>9.6300000000000008</v>
          </cell>
        </row>
        <row r="2387">
          <cell r="A2387" t="str">
            <v>L3531F</v>
          </cell>
          <cell r="B2387" t="str">
            <v>C</v>
          </cell>
          <cell r="C2387">
            <v>6.54</v>
          </cell>
        </row>
        <row r="2388">
          <cell r="A2388" t="str">
            <v>LAF3532</v>
          </cell>
          <cell r="B2388" t="str">
            <v>D</v>
          </cell>
          <cell r="C2388">
            <v>66.849999999999994</v>
          </cell>
        </row>
        <row r="2389">
          <cell r="A2389" t="str">
            <v>LAF3533</v>
          </cell>
          <cell r="B2389" t="str">
            <v>D</v>
          </cell>
          <cell r="C2389">
            <v>50.67</v>
          </cell>
        </row>
        <row r="2390">
          <cell r="A2390" t="str">
            <v>LFF3534</v>
          </cell>
          <cell r="B2390" t="str">
            <v>D</v>
          </cell>
          <cell r="C2390">
            <v>15.09</v>
          </cell>
        </row>
        <row r="2391">
          <cell r="A2391" t="str">
            <v>LAF3535A</v>
          </cell>
          <cell r="B2391" t="str">
            <v>D</v>
          </cell>
          <cell r="C2391">
            <v>76.78</v>
          </cell>
        </row>
        <row r="2392">
          <cell r="A2392" t="str">
            <v>LAF3535AMXM</v>
          </cell>
          <cell r="B2392" t="str">
            <v>N</v>
          </cell>
          <cell r="C2392">
            <v>91.09</v>
          </cell>
        </row>
        <row r="2393">
          <cell r="A2393" t="str">
            <v>LFF3536</v>
          </cell>
          <cell r="B2393" t="str">
            <v>D</v>
          </cell>
          <cell r="C2393">
            <v>33.14</v>
          </cell>
        </row>
        <row r="2394">
          <cell r="A2394" t="str">
            <v>LFF3538</v>
          </cell>
          <cell r="B2394" t="str">
            <v>D</v>
          </cell>
          <cell r="C2394">
            <v>15.41</v>
          </cell>
        </row>
        <row r="2395">
          <cell r="A2395" t="str">
            <v>L3539F</v>
          </cell>
          <cell r="B2395" t="str">
            <v>D</v>
          </cell>
          <cell r="C2395">
            <v>12.16</v>
          </cell>
        </row>
        <row r="2396">
          <cell r="A2396" t="str">
            <v>LFF3540</v>
          </cell>
          <cell r="B2396" t="str">
            <v>D</v>
          </cell>
          <cell r="C2396">
            <v>10.92</v>
          </cell>
        </row>
        <row r="2397">
          <cell r="A2397" t="str">
            <v>L3541F</v>
          </cell>
          <cell r="B2397" t="str">
            <v>D</v>
          </cell>
          <cell r="C2397">
            <v>12.11</v>
          </cell>
        </row>
        <row r="2398">
          <cell r="A2398" t="str">
            <v>L3542F</v>
          </cell>
          <cell r="B2398" t="str">
            <v>D</v>
          </cell>
          <cell r="C2398">
            <v>27.19</v>
          </cell>
        </row>
        <row r="2399">
          <cell r="A2399" t="str">
            <v>LFF3545</v>
          </cell>
          <cell r="B2399" t="str">
            <v>D</v>
          </cell>
          <cell r="C2399">
            <v>13.18</v>
          </cell>
        </row>
        <row r="2400">
          <cell r="A2400" t="str">
            <v>L3546F</v>
          </cell>
          <cell r="B2400" t="str">
            <v>C</v>
          </cell>
          <cell r="C2400">
            <v>21.72</v>
          </cell>
        </row>
        <row r="2401">
          <cell r="A2401" t="str">
            <v>L3546FC</v>
          </cell>
          <cell r="B2401" t="str">
            <v>N</v>
          </cell>
          <cell r="C2401">
            <v>25.05</v>
          </cell>
        </row>
        <row r="2402">
          <cell r="A2402" t="str">
            <v>LFF3550</v>
          </cell>
          <cell r="B2402" t="str">
            <v>D</v>
          </cell>
          <cell r="C2402">
            <v>63.02</v>
          </cell>
        </row>
        <row r="2403">
          <cell r="A2403" t="str">
            <v>LAF3551</v>
          </cell>
          <cell r="B2403" t="str">
            <v>A</v>
          </cell>
          <cell r="C2403">
            <v>65.349999999999994</v>
          </cell>
        </row>
        <row r="2404">
          <cell r="A2404" t="str">
            <v>LAF3551MXM</v>
          </cell>
          <cell r="B2404" t="str">
            <v>N</v>
          </cell>
          <cell r="C2404">
            <v>78.41</v>
          </cell>
        </row>
        <row r="2405">
          <cell r="A2405" t="str">
            <v>LFF3553</v>
          </cell>
          <cell r="B2405" t="str">
            <v>B</v>
          </cell>
          <cell r="C2405">
            <v>11.2</v>
          </cell>
        </row>
        <row r="2406">
          <cell r="A2406" t="str">
            <v>LFF3554</v>
          </cell>
          <cell r="B2406" t="str">
            <v>D</v>
          </cell>
          <cell r="C2406">
            <v>30.59</v>
          </cell>
        </row>
        <row r="2407">
          <cell r="A2407" t="str">
            <v>L3556F</v>
          </cell>
          <cell r="B2407" t="str">
            <v>D</v>
          </cell>
          <cell r="C2407">
            <v>9.6300000000000008</v>
          </cell>
        </row>
        <row r="2408">
          <cell r="A2408" t="str">
            <v>L3559F</v>
          </cell>
          <cell r="B2408" t="str">
            <v>D</v>
          </cell>
          <cell r="C2408">
            <v>18.760000000000002</v>
          </cell>
        </row>
        <row r="2409">
          <cell r="A2409" t="str">
            <v>L3560F</v>
          </cell>
          <cell r="B2409" t="str">
            <v>D</v>
          </cell>
          <cell r="C2409">
            <v>93.46</v>
          </cell>
        </row>
        <row r="2410">
          <cell r="A2410" t="str">
            <v>L3561F</v>
          </cell>
          <cell r="B2410" t="str">
            <v>D</v>
          </cell>
          <cell r="C2410">
            <v>12.85</v>
          </cell>
        </row>
        <row r="2411">
          <cell r="A2411" t="str">
            <v>L3562F</v>
          </cell>
          <cell r="B2411" t="str">
            <v>D</v>
          </cell>
          <cell r="C2411">
            <v>9.89</v>
          </cell>
        </row>
        <row r="2412">
          <cell r="A2412" t="str">
            <v>L3563F</v>
          </cell>
          <cell r="B2412" t="str">
            <v>D</v>
          </cell>
          <cell r="C2412">
            <v>33.82</v>
          </cell>
        </row>
        <row r="2413">
          <cell r="A2413">
            <v>3564</v>
          </cell>
          <cell r="B2413" t="str">
            <v>D</v>
          </cell>
          <cell r="C2413">
            <v>8.5</v>
          </cell>
        </row>
        <row r="2414">
          <cell r="A2414" t="str">
            <v>L3564F</v>
          </cell>
          <cell r="B2414" t="str">
            <v>D</v>
          </cell>
          <cell r="C2414">
            <v>27.3</v>
          </cell>
        </row>
        <row r="2415">
          <cell r="A2415" t="str">
            <v>L3565F</v>
          </cell>
          <cell r="B2415" t="str">
            <v>D</v>
          </cell>
          <cell r="C2415">
            <v>117.57</v>
          </cell>
        </row>
        <row r="2416">
          <cell r="A2416">
            <v>3566</v>
          </cell>
          <cell r="B2416" t="str">
            <v>D</v>
          </cell>
          <cell r="C2416">
            <v>31.93</v>
          </cell>
        </row>
        <row r="2417">
          <cell r="A2417" t="str">
            <v>L3567F</v>
          </cell>
          <cell r="B2417" t="str">
            <v>D</v>
          </cell>
          <cell r="C2417">
            <v>15.35</v>
          </cell>
        </row>
        <row r="2418">
          <cell r="A2418" t="str">
            <v>L3568F</v>
          </cell>
          <cell r="B2418" t="str">
            <v>D</v>
          </cell>
          <cell r="C2418">
            <v>15.16</v>
          </cell>
        </row>
        <row r="2419">
          <cell r="A2419" t="str">
            <v>L3569F</v>
          </cell>
          <cell r="B2419" t="str">
            <v>D</v>
          </cell>
          <cell r="C2419">
            <v>18.53</v>
          </cell>
        </row>
        <row r="2420">
          <cell r="A2420" t="str">
            <v>L3570F</v>
          </cell>
          <cell r="B2420" t="str">
            <v>D</v>
          </cell>
          <cell r="C2420">
            <v>11.63</v>
          </cell>
        </row>
        <row r="2421">
          <cell r="A2421" t="str">
            <v>LFF3572</v>
          </cell>
          <cell r="B2421" t="str">
            <v>D</v>
          </cell>
          <cell r="C2421">
            <v>13.33</v>
          </cell>
        </row>
        <row r="2422">
          <cell r="A2422" t="str">
            <v>L3575F</v>
          </cell>
          <cell r="B2422" t="str">
            <v>D</v>
          </cell>
          <cell r="C2422">
            <v>11.42</v>
          </cell>
        </row>
        <row r="2423">
          <cell r="A2423" t="str">
            <v>L3576F</v>
          </cell>
          <cell r="B2423" t="str">
            <v>D</v>
          </cell>
          <cell r="C2423">
            <v>16.809999999999999</v>
          </cell>
        </row>
        <row r="2424">
          <cell r="A2424" t="str">
            <v>L3577F</v>
          </cell>
          <cell r="B2424" t="str">
            <v>D</v>
          </cell>
          <cell r="C2424">
            <v>19.239999999999998</v>
          </cell>
        </row>
        <row r="2425">
          <cell r="A2425" t="str">
            <v>L3578FN</v>
          </cell>
          <cell r="B2425" t="str">
            <v>A</v>
          </cell>
          <cell r="C2425">
            <v>8.86</v>
          </cell>
        </row>
        <row r="2426">
          <cell r="A2426" t="str">
            <v>L3578FXL</v>
          </cell>
          <cell r="B2426" t="str">
            <v>D</v>
          </cell>
          <cell r="C2426">
            <v>30.05</v>
          </cell>
        </row>
        <row r="2427">
          <cell r="A2427" t="str">
            <v>LFF3579</v>
          </cell>
          <cell r="B2427" t="str">
            <v>B</v>
          </cell>
          <cell r="C2427">
            <v>26.13</v>
          </cell>
        </row>
        <row r="2428">
          <cell r="A2428" t="str">
            <v>LFF3579U</v>
          </cell>
          <cell r="B2428" t="str">
            <v>D</v>
          </cell>
          <cell r="C2428">
            <v>30.79</v>
          </cell>
        </row>
        <row r="2429">
          <cell r="A2429" t="str">
            <v>L3580F</v>
          </cell>
          <cell r="B2429" t="str">
            <v>C</v>
          </cell>
          <cell r="C2429">
            <v>29.81</v>
          </cell>
        </row>
        <row r="2430">
          <cell r="A2430" t="str">
            <v>LFF3581</v>
          </cell>
          <cell r="B2430" t="str">
            <v>C</v>
          </cell>
          <cell r="C2430">
            <v>25.19</v>
          </cell>
        </row>
        <row r="2431">
          <cell r="A2431" t="str">
            <v>LFP3582</v>
          </cell>
          <cell r="B2431" t="str">
            <v>D</v>
          </cell>
          <cell r="C2431">
            <v>18.350000000000001</v>
          </cell>
        </row>
        <row r="2432">
          <cell r="A2432" t="str">
            <v>LFF3584</v>
          </cell>
          <cell r="B2432" t="str">
            <v>C</v>
          </cell>
          <cell r="C2432">
            <v>13.91</v>
          </cell>
        </row>
        <row r="2433">
          <cell r="A2433" t="str">
            <v>LAF3585</v>
          </cell>
          <cell r="B2433" t="str">
            <v>B</v>
          </cell>
          <cell r="C2433">
            <v>34.36</v>
          </cell>
        </row>
        <row r="2434">
          <cell r="A2434" t="str">
            <v>LAF3586</v>
          </cell>
          <cell r="B2434" t="str">
            <v>D</v>
          </cell>
          <cell r="C2434">
            <v>167.25</v>
          </cell>
        </row>
        <row r="2435">
          <cell r="A2435" t="str">
            <v>AF3587</v>
          </cell>
          <cell r="B2435" t="str">
            <v>D</v>
          </cell>
          <cell r="C2435">
            <v>26.15</v>
          </cell>
        </row>
        <row r="2436">
          <cell r="A2436" t="str">
            <v>AF3588</v>
          </cell>
          <cell r="B2436" t="str">
            <v>A</v>
          </cell>
          <cell r="C2436">
            <v>13.58</v>
          </cell>
        </row>
        <row r="2437">
          <cell r="A2437" t="str">
            <v>AF3589</v>
          </cell>
          <cell r="B2437" t="str">
            <v>D</v>
          </cell>
          <cell r="C2437">
            <v>15.98</v>
          </cell>
        </row>
        <row r="2438">
          <cell r="A2438" t="str">
            <v>AF3590</v>
          </cell>
          <cell r="B2438" t="str">
            <v>B</v>
          </cell>
          <cell r="C2438">
            <v>17.420000000000002</v>
          </cell>
        </row>
        <row r="2439">
          <cell r="A2439" t="str">
            <v>AF3591</v>
          </cell>
          <cell r="B2439" t="str">
            <v>D</v>
          </cell>
          <cell r="C2439">
            <v>27.64</v>
          </cell>
        </row>
        <row r="2440">
          <cell r="A2440" t="str">
            <v>AF3592</v>
          </cell>
          <cell r="B2440" t="str">
            <v>D</v>
          </cell>
          <cell r="C2440">
            <v>15.58</v>
          </cell>
        </row>
        <row r="2441">
          <cell r="A2441" t="str">
            <v>AF3593</v>
          </cell>
          <cell r="B2441" t="str">
            <v>D</v>
          </cell>
          <cell r="C2441">
            <v>25.72</v>
          </cell>
        </row>
        <row r="2442">
          <cell r="A2442" t="str">
            <v>AF3594</v>
          </cell>
          <cell r="B2442" t="str">
            <v>A</v>
          </cell>
          <cell r="C2442">
            <v>15.1</v>
          </cell>
        </row>
        <row r="2443">
          <cell r="A2443" t="str">
            <v>AF3595</v>
          </cell>
          <cell r="B2443" t="str">
            <v>A</v>
          </cell>
          <cell r="C2443">
            <v>15.9</v>
          </cell>
        </row>
        <row r="2444">
          <cell r="A2444" t="str">
            <v>AF3598</v>
          </cell>
          <cell r="B2444" t="str">
            <v>D</v>
          </cell>
          <cell r="C2444">
            <v>46.75</v>
          </cell>
        </row>
        <row r="2445">
          <cell r="A2445" t="str">
            <v>AF3601</v>
          </cell>
          <cell r="B2445" t="str">
            <v>D</v>
          </cell>
          <cell r="C2445">
            <v>46.93</v>
          </cell>
        </row>
        <row r="2446">
          <cell r="A2446" t="str">
            <v>AF3603</v>
          </cell>
          <cell r="B2446" t="str">
            <v>D</v>
          </cell>
          <cell r="C2446">
            <v>52.71</v>
          </cell>
        </row>
        <row r="2447">
          <cell r="A2447" t="str">
            <v>AF3604</v>
          </cell>
          <cell r="B2447" t="str">
            <v>D</v>
          </cell>
          <cell r="C2447">
            <v>26.11</v>
          </cell>
        </row>
        <row r="2448">
          <cell r="A2448" t="str">
            <v>AF3605</v>
          </cell>
          <cell r="B2448" t="str">
            <v>D</v>
          </cell>
          <cell r="C2448">
            <v>40.99</v>
          </cell>
        </row>
        <row r="2449">
          <cell r="A2449" t="str">
            <v>AF3609</v>
          </cell>
          <cell r="B2449" t="str">
            <v>N</v>
          </cell>
          <cell r="C2449">
            <v>32</v>
          </cell>
        </row>
        <row r="2450">
          <cell r="A2450" t="str">
            <v>AF3612</v>
          </cell>
          <cell r="B2450" t="str">
            <v>N</v>
          </cell>
          <cell r="C2450">
            <v>12.91</v>
          </cell>
        </row>
        <row r="2451">
          <cell r="A2451">
            <v>3652</v>
          </cell>
          <cell r="B2451" t="str">
            <v>D</v>
          </cell>
          <cell r="C2451">
            <v>148.21</v>
          </cell>
        </row>
        <row r="2452">
          <cell r="A2452" t="str">
            <v>LFH3653-25</v>
          </cell>
          <cell r="B2452" t="str">
            <v>D</v>
          </cell>
          <cell r="C2452">
            <v>10.68</v>
          </cell>
        </row>
        <row r="2453">
          <cell r="A2453">
            <v>3654</v>
          </cell>
          <cell r="B2453" t="str">
            <v>D</v>
          </cell>
          <cell r="C2453">
            <v>12.47</v>
          </cell>
        </row>
        <row r="2454">
          <cell r="A2454" t="str">
            <v>LAF3654</v>
          </cell>
          <cell r="B2454" t="str">
            <v>D</v>
          </cell>
          <cell r="C2454">
            <v>33.89</v>
          </cell>
        </row>
        <row r="2455">
          <cell r="A2455" t="str">
            <v>LAF3655</v>
          </cell>
          <cell r="B2455" t="str">
            <v>D</v>
          </cell>
          <cell r="C2455">
            <v>67.95</v>
          </cell>
        </row>
        <row r="2456">
          <cell r="A2456" t="str">
            <v>PH3656</v>
          </cell>
          <cell r="B2456" t="str">
            <v>B</v>
          </cell>
          <cell r="C2456">
            <v>8.65</v>
          </cell>
        </row>
        <row r="2457">
          <cell r="A2457" t="str">
            <v>LAF3657</v>
          </cell>
          <cell r="B2457" t="str">
            <v>D</v>
          </cell>
          <cell r="C2457">
            <v>49.53</v>
          </cell>
        </row>
        <row r="2458">
          <cell r="A2458" t="str">
            <v>LP3660</v>
          </cell>
          <cell r="B2458" t="str">
            <v>D</v>
          </cell>
          <cell r="C2458">
            <v>42.51</v>
          </cell>
        </row>
        <row r="2459">
          <cell r="A2459" t="str">
            <v>LAF3661</v>
          </cell>
          <cell r="B2459" t="str">
            <v>D</v>
          </cell>
          <cell r="C2459">
            <v>95.93</v>
          </cell>
        </row>
        <row r="2460">
          <cell r="A2460" t="str">
            <v>LAF3663</v>
          </cell>
          <cell r="B2460" t="str">
            <v>D</v>
          </cell>
          <cell r="C2460">
            <v>46.37</v>
          </cell>
        </row>
        <row r="2461">
          <cell r="A2461" t="str">
            <v>LAF3664</v>
          </cell>
          <cell r="B2461" t="str">
            <v>D</v>
          </cell>
          <cell r="C2461">
            <v>32.5</v>
          </cell>
        </row>
        <row r="2462">
          <cell r="A2462" t="str">
            <v>LFF3676</v>
          </cell>
          <cell r="B2462" t="str">
            <v>N</v>
          </cell>
          <cell r="C2462">
            <v>16.14</v>
          </cell>
        </row>
        <row r="2463">
          <cell r="A2463" t="str">
            <v>LAF3680</v>
          </cell>
          <cell r="B2463" t="str">
            <v>D</v>
          </cell>
          <cell r="C2463">
            <v>35.729999999999997</v>
          </cell>
        </row>
        <row r="2464">
          <cell r="A2464">
            <v>3681</v>
          </cell>
          <cell r="B2464" t="str">
            <v>D</v>
          </cell>
          <cell r="C2464">
            <v>522.98</v>
          </cell>
        </row>
        <row r="2465">
          <cell r="A2465">
            <v>3692</v>
          </cell>
          <cell r="B2465" t="str">
            <v>D</v>
          </cell>
          <cell r="C2465">
            <v>6.05</v>
          </cell>
        </row>
        <row r="2466">
          <cell r="A2466" t="str">
            <v>LFP3692F</v>
          </cell>
          <cell r="B2466" t="str">
            <v>D</v>
          </cell>
          <cell r="C2466">
            <v>9.64</v>
          </cell>
        </row>
        <row r="2467">
          <cell r="A2467" t="str">
            <v>LFP3693F</v>
          </cell>
          <cell r="B2467" t="str">
            <v>B</v>
          </cell>
          <cell r="C2467">
            <v>8.06</v>
          </cell>
        </row>
        <row r="2468">
          <cell r="A2468" t="str">
            <v>3698SC</v>
          </cell>
          <cell r="B2468" t="str">
            <v>D</v>
          </cell>
          <cell r="C2468">
            <v>246</v>
          </cell>
        </row>
        <row r="2469">
          <cell r="A2469" t="str">
            <v>LAF3699</v>
          </cell>
          <cell r="B2469" t="str">
            <v>N</v>
          </cell>
          <cell r="C2469">
            <v>37.07</v>
          </cell>
        </row>
        <row r="2470">
          <cell r="A2470" t="str">
            <v>LAF3700</v>
          </cell>
          <cell r="B2470" t="str">
            <v>N</v>
          </cell>
          <cell r="C2470">
            <v>41.63</v>
          </cell>
        </row>
        <row r="2471">
          <cell r="A2471" t="str">
            <v>LAF3701</v>
          </cell>
          <cell r="B2471" t="str">
            <v>D</v>
          </cell>
          <cell r="C2471">
            <v>94.74</v>
          </cell>
        </row>
        <row r="2472">
          <cell r="A2472" t="str">
            <v>LAF3702</v>
          </cell>
          <cell r="B2472" t="str">
            <v>D</v>
          </cell>
          <cell r="C2472">
            <v>83.97</v>
          </cell>
        </row>
        <row r="2473">
          <cell r="A2473" t="str">
            <v>LAF3704</v>
          </cell>
          <cell r="B2473" t="str">
            <v>D</v>
          </cell>
          <cell r="C2473">
            <v>60.35</v>
          </cell>
        </row>
        <row r="2474">
          <cell r="A2474" t="str">
            <v>LAF3705</v>
          </cell>
          <cell r="B2474" t="str">
            <v>D</v>
          </cell>
          <cell r="C2474">
            <v>73.739999999999995</v>
          </cell>
        </row>
        <row r="2475">
          <cell r="A2475" t="str">
            <v>LAF3706</v>
          </cell>
          <cell r="B2475" t="str">
            <v>D</v>
          </cell>
          <cell r="C2475">
            <v>56.73</v>
          </cell>
        </row>
        <row r="2476">
          <cell r="A2476" t="str">
            <v>LAF3707</v>
          </cell>
          <cell r="B2476" t="str">
            <v>D</v>
          </cell>
          <cell r="C2476">
            <v>39.68</v>
          </cell>
        </row>
        <row r="2477">
          <cell r="A2477" t="str">
            <v>LAF3708</v>
          </cell>
          <cell r="B2477" t="str">
            <v>D</v>
          </cell>
          <cell r="C2477">
            <v>68.489999999999995</v>
          </cell>
        </row>
        <row r="2478">
          <cell r="A2478" t="str">
            <v>LAF3709</v>
          </cell>
          <cell r="B2478" t="str">
            <v>D</v>
          </cell>
          <cell r="C2478">
            <v>134.13999999999999</v>
          </cell>
        </row>
        <row r="2479">
          <cell r="A2479" t="str">
            <v>LAF3710</v>
          </cell>
          <cell r="B2479" t="str">
            <v>D</v>
          </cell>
          <cell r="C2479">
            <v>33.96</v>
          </cell>
        </row>
        <row r="2480">
          <cell r="A2480" t="str">
            <v>LAF3711</v>
          </cell>
          <cell r="B2480" t="str">
            <v>D</v>
          </cell>
          <cell r="C2480">
            <v>37.64</v>
          </cell>
        </row>
        <row r="2481">
          <cell r="A2481" t="str">
            <v>LFP3712</v>
          </cell>
          <cell r="B2481" t="str">
            <v>D</v>
          </cell>
          <cell r="C2481">
            <v>11.24</v>
          </cell>
        </row>
        <row r="2482">
          <cell r="A2482" t="str">
            <v>LAF3713</v>
          </cell>
          <cell r="B2482" t="str">
            <v>D</v>
          </cell>
          <cell r="C2482">
            <v>85.32</v>
          </cell>
        </row>
        <row r="2483">
          <cell r="A2483" t="str">
            <v>LAF3714</v>
          </cell>
          <cell r="B2483" t="str">
            <v>D</v>
          </cell>
          <cell r="C2483">
            <v>72.8</v>
          </cell>
        </row>
        <row r="2484">
          <cell r="A2484" t="str">
            <v>LAF3715</v>
          </cell>
          <cell r="B2484" t="str">
            <v>D</v>
          </cell>
          <cell r="C2484">
            <v>156.94999999999999</v>
          </cell>
        </row>
        <row r="2485">
          <cell r="A2485" t="str">
            <v>LAF3716</v>
          </cell>
          <cell r="B2485" t="str">
            <v>D</v>
          </cell>
          <cell r="C2485">
            <v>97.38</v>
          </cell>
        </row>
        <row r="2486">
          <cell r="A2486" t="str">
            <v>LAF3717</v>
          </cell>
          <cell r="B2486" t="str">
            <v>D</v>
          </cell>
          <cell r="C2486">
            <v>65.91</v>
          </cell>
        </row>
        <row r="2487">
          <cell r="A2487" t="str">
            <v>P3723</v>
          </cell>
          <cell r="B2487" t="str">
            <v>D</v>
          </cell>
          <cell r="C2487">
            <v>13.02</v>
          </cell>
        </row>
        <row r="2488">
          <cell r="A2488" t="str">
            <v>LFP3729</v>
          </cell>
          <cell r="B2488" t="str">
            <v>C</v>
          </cell>
          <cell r="C2488">
            <v>14.46</v>
          </cell>
        </row>
        <row r="2489">
          <cell r="A2489" t="str">
            <v>3730SC</v>
          </cell>
          <cell r="B2489" t="str">
            <v>D</v>
          </cell>
          <cell r="C2489">
            <v>617.17999999999995</v>
          </cell>
        </row>
        <row r="2490">
          <cell r="A2490" t="str">
            <v>LAF3730</v>
          </cell>
          <cell r="B2490" t="str">
            <v>D</v>
          </cell>
          <cell r="C2490">
            <v>69.94</v>
          </cell>
        </row>
        <row r="2491">
          <cell r="A2491" t="str">
            <v>LAF3742</v>
          </cell>
          <cell r="B2491" t="str">
            <v>D</v>
          </cell>
          <cell r="C2491">
            <v>50.25</v>
          </cell>
        </row>
        <row r="2492">
          <cell r="A2492" t="str">
            <v>LFP3746</v>
          </cell>
          <cell r="B2492" t="str">
            <v>D</v>
          </cell>
          <cell r="C2492">
            <v>13.34</v>
          </cell>
        </row>
        <row r="2493">
          <cell r="A2493" t="str">
            <v>AF3753</v>
          </cell>
          <cell r="B2493" t="str">
            <v>N</v>
          </cell>
          <cell r="C2493">
            <v>30.38</v>
          </cell>
        </row>
        <row r="2494">
          <cell r="A2494" t="str">
            <v>LAF3754</v>
          </cell>
          <cell r="B2494" t="str">
            <v>D</v>
          </cell>
          <cell r="C2494">
            <v>105.25</v>
          </cell>
        </row>
        <row r="2495">
          <cell r="A2495">
            <v>3755</v>
          </cell>
          <cell r="B2495" t="str">
            <v>D</v>
          </cell>
          <cell r="C2495">
            <v>579.05999999999995</v>
          </cell>
        </row>
        <row r="2496">
          <cell r="A2496" t="str">
            <v>LFH3756</v>
          </cell>
          <cell r="B2496" t="str">
            <v>D</v>
          </cell>
          <cell r="C2496">
            <v>19.940000000000001</v>
          </cell>
        </row>
        <row r="2497">
          <cell r="A2497" t="str">
            <v>LFH3762</v>
          </cell>
          <cell r="B2497" t="str">
            <v>D</v>
          </cell>
          <cell r="C2497">
            <v>22.98</v>
          </cell>
        </row>
        <row r="2498">
          <cell r="A2498">
            <v>3764</v>
          </cell>
          <cell r="B2498" t="str">
            <v>D</v>
          </cell>
          <cell r="C2498">
            <v>181.48</v>
          </cell>
        </row>
        <row r="2499">
          <cell r="A2499">
            <v>3766</v>
          </cell>
          <cell r="B2499" t="str">
            <v>D</v>
          </cell>
          <cell r="C2499">
            <v>258.5</v>
          </cell>
        </row>
        <row r="2500">
          <cell r="A2500">
            <v>3773</v>
          </cell>
          <cell r="B2500" t="str">
            <v>D</v>
          </cell>
          <cell r="C2500">
            <v>6.5</v>
          </cell>
        </row>
        <row r="2501">
          <cell r="A2501">
            <v>3776</v>
          </cell>
          <cell r="B2501" t="str">
            <v>D</v>
          </cell>
          <cell r="C2501">
            <v>14.93</v>
          </cell>
        </row>
        <row r="2502">
          <cell r="A2502" t="str">
            <v>LAF3779</v>
          </cell>
          <cell r="B2502" t="str">
            <v>D</v>
          </cell>
          <cell r="C2502">
            <v>38.590000000000003</v>
          </cell>
        </row>
        <row r="2503">
          <cell r="A2503" t="str">
            <v>LAF3780</v>
          </cell>
          <cell r="B2503" t="str">
            <v>N</v>
          </cell>
          <cell r="C2503">
            <v>40.67</v>
          </cell>
        </row>
        <row r="2504">
          <cell r="A2504" t="str">
            <v>LAF3781</v>
          </cell>
          <cell r="B2504" t="str">
            <v>D</v>
          </cell>
          <cell r="C2504">
            <v>51.8</v>
          </cell>
        </row>
        <row r="2505">
          <cell r="A2505" t="str">
            <v>LAF3785</v>
          </cell>
          <cell r="B2505" t="str">
            <v>D</v>
          </cell>
          <cell r="C2505">
            <v>155.78</v>
          </cell>
        </row>
        <row r="2506">
          <cell r="A2506">
            <v>3789</v>
          </cell>
          <cell r="B2506" t="str">
            <v>D</v>
          </cell>
          <cell r="C2506">
            <v>476.14</v>
          </cell>
        </row>
        <row r="2507">
          <cell r="A2507" t="str">
            <v>LFP3791</v>
          </cell>
          <cell r="B2507" t="str">
            <v>D</v>
          </cell>
          <cell r="C2507">
            <v>9.14</v>
          </cell>
        </row>
        <row r="2508">
          <cell r="A2508">
            <v>3795</v>
          </cell>
          <cell r="B2508" t="str">
            <v>D</v>
          </cell>
          <cell r="C2508">
            <v>5.95</v>
          </cell>
        </row>
        <row r="2509">
          <cell r="A2509" t="str">
            <v>3795B</v>
          </cell>
          <cell r="B2509" t="str">
            <v>D</v>
          </cell>
          <cell r="C2509">
            <v>4.38</v>
          </cell>
        </row>
        <row r="2510">
          <cell r="A2510" t="str">
            <v>LFF3800</v>
          </cell>
          <cell r="B2510" t="str">
            <v>N</v>
          </cell>
          <cell r="C2510">
            <v>27.93</v>
          </cell>
        </row>
        <row r="2511">
          <cell r="A2511" t="str">
            <v>LFF3806</v>
          </cell>
          <cell r="B2511" t="str">
            <v>C</v>
          </cell>
          <cell r="C2511">
            <v>9.61</v>
          </cell>
        </row>
        <row r="2512">
          <cell r="A2512" t="str">
            <v>LFF3802</v>
          </cell>
          <cell r="B2512" t="str">
            <v>N</v>
          </cell>
          <cell r="C2512">
            <v>33.71</v>
          </cell>
        </row>
        <row r="2513">
          <cell r="A2513" t="str">
            <v>LFF3807</v>
          </cell>
          <cell r="B2513" t="str">
            <v>D</v>
          </cell>
          <cell r="C2513">
            <v>10.7</v>
          </cell>
        </row>
        <row r="2514">
          <cell r="A2514">
            <v>3808</v>
          </cell>
          <cell r="B2514" t="str">
            <v>D</v>
          </cell>
          <cell r="C2514">
            <v>82.01</v>
          </cell>
        </row>
        <row r="2515">
          <cell r="A2515" t="str">
            <v>LFF3808</v>
          </cell>
          <cell r="B2515" t="str">
            <v>C</v>
          </cell>
          <cell r="C2515">
            <v>8.39</v>
          </cell>
        </row>
        <row r="2516">
          <cell r="A2516" t="str">
            <v>LFF3809</v>
          </cell>
          <cell r="B2516" t="str">
            <v>D</v>
          </cell>
          <cell r="C2516">
            <v>10.8</v>
          </cell>
        </row>
        <row r="2517">
          <cell r="A2517">
            <v>3810</v>
          </cell>
          <cell r="B2517" t="str">
            <v>D</v>
          </cell>
          <cell r="C2517">
            <v>76.540000000000006</v>
          </cell>
        </row>
        <row r="2518">
          <cell r="A2518" t="str">
            <v>LAF3814</v>
          </cell>
          <cell r="B2518" t="str">
            <v>D</v>
          </cell>
          <cell r="C2518">
            <v>105.07</v>
          </cell>
        </row>
        <row r="2519">
          <cell r="A2519" t="str">
            <v>LFP3828</v>
          </cell>
          <cell r="B2519" t="str">
            <v>D</v>
          </cell>
          <cell r="C2519">
            <v>22.73</v>
          </cell>
        </row>
        <row r="2520">
          <cell r="A2520" t="str">
            <v>LFP3830</v>
          </cell>
          <cell r="B2520" t="str">
            <v>N</v>
          </cell>
          <cell r="C2520">
            <v>7.59</v>
          </cell>
        </row>
        <row r="2521">
          <cell r="A2521">
            <v>3843</v>
          </cell>
          <cell r="B2521" t="str">
            <v>D</v>
          </cell>
          <cell r="C2521">
            <v>3.84</v>
          </cell>
        </row>
        <row r="2522">
          <cell r="A2522">
            <v>3850</v>
          </cell>
          <cell r="B2522" t="str">
            <v>D</v>
          </cell>
          <cell r="C2522">
            <v>229.27</v>
          </cell>
        </row>
        <row r="2523">
          <cell r="A2523" t="str">
            <v>LAF3860</v>
          </cell>
          <cell r="B2523" t="str">
            <v>D</v>
          </cell>
          <cell r="C2523">
            <v>65.73</v>
          </cell>
        </row>
        <row r="2524">
          <cell r="A2524">
            <v>3861</v>
          </cell>
          <cell r="B2524" t="str">
            <v>D</v>
          </cell>
          <cell r="C2524">
            <v>6.8</v>
          </cell>
        </row>
        <row r="2525">
          <cell r="A2525" t="str">
            <v>LAF3861</v>
          </cell>
          <cell r="B2525" t="str">
            <v>D</v>
          </cell>
          <cell r="C2525">
            <v>39.28</v>
          </cell>
        </row>
        <row r="2526">
          <cell r="A2526" t="str">
            <v>LAF3862</v>
          </cell>
          <cell r="B2526" t="str">
            <v>D</v>
          </cell>
          <cell r="C2526">
            <v>100.49</v>
          </cell>
        </row>
        <row r="2527">
          <cell r="A2527" t="str">
            <v>LAF3863</v>
          </cell>
          <cell r="B2527" t="str">
            <v>D</v>
          </cell>
          <cell r="C2527">
            <v>40.43</v>
          </cell>
        </row>
        <row r="2528">
          <cell r="A2528" t="str">
            <v>LAF3864</v>
          </cell>
          <cell r="B2528" t="str">
            <v>D</v>
          </cell>
          <cell r="C2528">
            <v>72.33</v>
          </cell>
        </row>
        <row r="2529">
          <cell r="A2529" t="str">
            <v>LAF3865</v>
          </cell>
          <cell r="B2529" t="str">
            <v>D</v>
          </cell>
          <cell r="C2529">
            <v>42.8</v>
          </cell>
        </row>
        <row r="2530">
          <cell r="A2530" t="str">
            <v>AF3870</v>
          </cell>
          <cell r="B2530" t="str">
            <v>D</v>
          </cell>
          <cell r="C2530">
            <v>13.02</v>
          </cell>
        </row>
        <row r="2531">
          <cell r="A2531" t="str">
            <v>LFP3871</v>
          </cell>
          <cell r="B2531" t="str">
            <v>D</v>
          </cell>
          <cell r="C2531">
            <v>11.63</v>
          </cell>
        </row>
        <row r="2532">
          <cell r="A2532" t="str">
            <v>LH3878</v>
          </cell>
          <cell r="B2532" t="str">
            <v>D</v>
          </cell>
          <cell r="C2532">
            <v>185.91</v>
          </cell>
        </row>
        <row r="2533">
          <cell r="A2533" t="str">
            <v>LH3879</v>
          </cell>
          <cell r="B2533" t="str">
            <v>D</v>
          </cell>
          <cell r="C2533">
            <v>23.9</v>
          </cell>
        </row>
        <row r="2534">
          <cell r="A2534" t="str">
            <v>L3880F</v>
          </cell>
          <cell r="B2534" t="str">
            <v>N</v>
          </cell>
          <cell r="C2534">
            <v>28.11</v>
          </cell>
        </row>
        <row r="2535">
          <cell r="A2535" t="str">
            <v>L3881F</v>
          </cell>
          <cell r="B2535" t="str">
            <v>N</v>
          </cell>
          <cell r="C2535">
            <v>32.74</v>
          </cell>
        </row>
        <row r="2536">
          <cell r="A2536" t="str">
            <v>LFH3882-10</v>
          </cell>
          <cell r="B2536" t="str">
            <v>D</v>
          </cell>
          <cell r="C2536">
            <v>18.02</v>
          </cell>
        </row>
        <row r="2537">
          <cell r="A2537" t="str">
            <v>LFH3882-25</v>
          </cell>
          <cell r="B2537" t="str">
            <v>D</v>
          </cell>
          <cell r="C2537">
            <v>9.59</v>
          </cell>
        </row>
        <row r="2538">
          <cell r="A2538">
            <v>3883</v>
          </cell>
          <cell r="B2538" t="str">
            <v>D</v>
          </cell>
          <cell r="C2538">
            <v>362.84</v>
          </cell>
        </row>
        <row r="2539">
          <cell r="A2539" t="str">
            <v>LAF3884</v>
          </cell>
          <cell r="B2539" t="str">
            <v>D</v>
          </cell>
          <cell r="C2539">
            <v>85.16</v>
          </cell>
        </row>
        <row r="2540">
          <cell r="A2540" t="str">
            <v>AF3885</v>
          </cell>
          <cell r="B2540" t="str">
            <v>D</v>
          </cell>
          <cell r="C2540">
            <v>36.33</v>
          </cell>
        </row>
        <row r="2541">
          <cell r="A2541" t="str">
            <v>LFF3886</v>
          </cell>
          <cell r="B2541" t="str">
            <v>C</v>
          </cell>
          <cell r="C2541">
            <v>13.08</v>
          </cell>
        </row>
        <row r="2542">
          <cell r="A2542" t="str">
            <v>L3887F</v>
          </cell>
          <cell r="B2542" t="str">
            <v>B</v>
          </cell>
          <cell r="C2542">
            <v>25.95</v>
          </cell>
        </row>
        <row r="2543">
          <cell r="A2543" t="str">
            <v>AF3888</v>
          </cell>
          <cell r="B2543" t="str">
            <v>D</v>
          </cell>
          <cell r="C2543">
            <v>16.43</v>
          </cell>
        </row>
        <row r="2544">
          <cell r="A2544" t="str">
            <v>LAF3890</v>
          </cell>
          <cell r="B2544" t="str">
            <v>C</v>
          </cell>
          <cell r="C2544">
            <v>57.49</v>
          </cell>
        </row>
        <row r="2545">
          <cell r="A2545" t="str">
            <v>L3891F</v>
          </cell>
          <cell r="B2545" t="str">
            <v>D</v>
          </cell>
          <cell r="C2545">
            <v>41.86</v>
          </cell>
        </row>
        <row r="2546">
          <cell r="A2546" t="str">
            <v>L3892F</v>
          </cell>
          <cell r="B2546" t="str">
            <v>D</v>
          </cell>
          <cell r="C2546">
            <v>54.24</v>
          </cell>
        </row>
        <row r="2547">
          <cell r="A2547" t="str">
            <v>L3893F</v>
          </cell>
          <cell r="B2547" t="str">
            <v>D</v>
          </cell>
          <cell r="C2547">
            <v>50.6</v>
          </cell>
        </row>
        <row r="2548">
          <cell r="A2548" t="str">
            <v>AF3895</v>
          </cell>
          <cell r="B2548" t="str">
            <v>B</v>
          </cell>
          <cell r="C2548">
            <v>20.76</v>
          </cell>
        </row>
        <row r="2549">
          <cell r="A2549" t="str">
            <v>AF3896</v>
          </cell>
          <cell r="B2549" t="str">
            <v>B</v>
          </cell>
          <cell r="C2549">
            <v>33.65</v>
          </cell>
        </row>
        <row r="2550">
          <cell r="A2550" t="str">
            <v>AF3897</v>
          </cell>
          <cell r="B2550" t="str">
            <v>D</v>
          </cell>
          <cell r="C2550">
            <v>19.82</v>
          </cell>
        </row>
        <row r="2551">
          <cell r="A2551" t="str">
            <v>AF3898</v>
          </cell>
          <cell r="B2551" t="str">
            <v>D</v>
          </cell>
          <cell r="C2551">
            <v>64.06</v>
          </cell>
        </row>
        <row r="2552">
          <cell r="A2552" t="str">
            <v>AF3899</v>
          </cell>
          <cell r="B2552" t="str">
            <v>D</v>
          </cell>
          <cell r="C2552">
            <v>17.11</v>
          </cell>
        </row>
        <row r="2553">
          <cell r="A2553" t="str">
            <v>AF3900</v>
          </cell>
          <cell r="B2553" t="str">
            <v>D</v>
          </cell>
          <cell r="C2553">
            <v>24.93</v>
          </cell>
        </row>
        <row r="2554">
          <cell r="A2554" t="str">
            <v>LFP3900</v>
          </cell>
          <cell r="B2554" t="str">
            <v>A</v>
          </cell>
          <cell r="C2554">
            <v>7.49</v>
          </cell>
        </row>
        <row r="2555">
          <cell r="A2555" t="str">
            <v>LAF3901</v>
          </cell>
          <cell r="B2555" t="str">
            <v>D</v>
          </cell>
          <cell r="C2555">
            <v>143.94</v>
          </cell>
        </row>
        <row r="2556">
          <cell r="A2556" t="str">
            <v>LAF3902</v>
          </cell>
          <cell r="B2556" t="str">
            <v>D</v>
          </cell>
          <cell r="C2556">
            <v>88.92</v>
          </cell>
        </row>
        <row r="2557">
          <cell r="A2557" t="str">
            <v>AF3904</v>
          </cell>
          <cell r="B2557" t="str">
            <v>B</v>
          </cell>
          <cell r="C2557">
            <v>10.25</v>
          </cell>
        </row>
        <row r="2558">
          <cell r="A2558" t="str">
            <v>AF3905</v>
          </cell>
          <cell r="B2558" t="str">
            <v>D</v>
          </cell>
          <cell r="C2558">
            <v>31.8</v>
          </cell>
        </row>
        <row r="2559">
          <cell r="A2559" t="str">
            <v>AF3906</v>
          </cell>
          <cell r="B2559" t="str">
            <v>D</v>
          </cell>
          <cell r="C2559">
            <v>15.42</v>
          </cell>
        </row>
        <row r="2560">
          <cell r="A2560">
            <v>3907</v>
          </cell>
          <cell r="B2560" t="str">
            <v>D</v>
          </cell>
          <cell r="C2560">
            <v>3.99</v>
          </cell>
        </row>
        <row r="2561">
          <cell r="A2561" t="str">
            <v>AF3907</v>
          </cell>
          <cell r="B2561" t="str">
            <v>D</v>
          </cell>
          <cell r="C2561">
            <v>18.190000000000001</v>
          </cell>
        </row>
        <row r="2562">
          <cell r="A2562" t="str">
            <v>AF3908</v>
          </cell>
          <cell r="B2562" t="str">
            <v>D</v>
          </cell>
          <cell r="C2562">
            <v>48.94</v>
          </cell>
        </row>
        <row r="2563">
          <cell r="A2563" t="str">
            <v>AF3910</v>
          </cell>
          <cell r="B2563" t="str">
            <v>D</v>
          </cell>
          <cell r="C2563">
            <v>47.22</v>
          </cell>
        </row>
        <row r="2564">
          <cell r="A2564">
            <v>3912</v>
          </cell>
          <cell r="B2564" t="str">
            <v>D</v>
          </cell>
          <cell r="C2564">
            <v>8.8699999999999992</v>
          </cell>
        </row>
        <row r="2565">
          <cell r="A2565" t="str">
            <v>AF3913</v>
          </cell>
          <cell r="B2565" t="str">
            <v>D</v>
          </cell>
          <cell r="C2565">
            <v>50.77</v>
          </cell>
        </row>
        <row r="2566">
          <cell r="A2566" t="str">
            <v>AF3914</v>
          </cell>
          <cell r="B2566" t="str">
            <v>D</v>
          </cell>
          <cell r="C2566">
            <v>18.059999999999999</v>
          </cell>
        </row>
        <row r="2567">
          <cell r="A2567">
            <v>3915</v>
          </cell>
          <cell r="B2567" t="str">
            <v>D</v>
          </cell>
          <cell r="C2567">
            <v>9.65</v>
          </cell>
        </row>
        <row r="2568">
          <cell r="A2568" t="str">
            <v>LAF3916</v>
          </cell>
          <cell r="B2568" t="str">
            <v>D</v>
          </cell>
          <cell r="C2568">
            <v>106.09</v>
          </cell>
        </row>
        <row r="2569">
          <cell r="A2569" t="str">
            <v>AF3917</v>
          </cell>
          <cell r="B2569" t="str">
            <v>D</v>
          </cell>
          <cell r="C2569">
            <v>39.61</v>
          </cell>
        </row>
        <row r="2570">
          <cell r="A2570" t="str">
            <v>LAF3918</v>
          </cell>
          <cell r="B2570" t="str">
            <v>D</v>
          </cell>
          <cell r="C2570">
            <v>62.28</v>
          </cell>
        </row>
        <row r="2571">
          <cell r="A2571" t="str">
            <v>L3919F</v>
          </cell>
          <cell r="B2571" t="str">
            <v>D</v>
          </cell>
          <cell r="C2571">
            <v>52.47</v>
          </cell>
        </row>
        <row r="2572">
          <cell r="A2572">
            <v>3920</v>
          </cell>
          <cell r="B2572" t="str">
            <v>D</v>
          </cell>
          <cell r="C2572">
            <v>437.44</v>
          </cell>
        </row>
        <row r="2573">
          <cell r="A2573" t="str">
            <v>L3920F</v>
          </cell>
          <cell r="B2573" t="str">
            <v>D</v>
          </cell>
          <cell r="C2573">
            <v>61.03</v>
          </cell>
        </row>
        <row r="2574">
          <cell r="A2574" t="str">
            <v>L3921F</v>
          </cell>
          <cell r="B2574" t="str">
            <v>D</v>
          </cell>
          <cell r="C2574">
            <v>43.58</v>
          </cell>
        </row>
        <row r="2575">
          <cell r="A2575" t="str">
            <v>L3922F</v>
          </cell>
          <cell r="B2575" t="str">
            <v>D</v>
          </cell>
          <cell r="C2575">
            <v>47.49</v>
          </cell>
        </row>
        <row r="2576">
          <cell r="A2576">
            <v>3923</v>
          </cell>
          <cell r="B2576" t="str">
            <v>D</v>
          </cell>
          <cell r="C2576">
            <v>524.61</v>
          </cell>
        </row>
        <row r="2577">
          <cell r="A2577" t="str">
            <v>3923 B</v>
          </cell>
          <cell r="B2577" t="str">
            <v>D</v>
          </cell>
          <cell r="C2577">
            <v>500.76</v>
          </cell>
        </row>
        <row r="2578">
          <cell r="A2578" t="str">
            <v>L3923F</v>
          </cell>
          <cell r="B2578" t="str">
            <v>D</v>
          </cell>
          <cell r="C2578">
            <v>44.64</v>
          </cell>
        </row>
        <row r="2579">
          <cell r="A2579">
            <v>3924</v>
          </cell>
          <cell r="B2579" t="str">
            <v>D</v>
          </cell>
          <cell r="C2579">
            <v>523.07000000000005</v>
          </cell>
        </row>
        <row r="2580">
          <cell r="A2580" t="str">
            <v>L3924F</v>
          </cell>
          <cell r="B2580" t="str">
            <v>D</v>
          </cell>
          <cell r="C2580">
            <v>31.28</v>
          </cell>
        </row>
        <row r="2581">
          <cell r="A2581" t="str">
            <v>L3925F</v>
          </cell>
          <cell r="B2581" t="str">
            <v>D</v>
          </cell>
          <cell r="C2581">
            <v>32.14</v>
          </cell>
        </row>
        <row r="2582">
          <cell r="A2582" t="str">
            <v>AF3926</v>
          </cell>
          <cell r="B2582" t="str">
            <v>N</v>
          </cell>
          <cell r="C2582">
            <v>49.09</v>
          </cell>
        </row>
        <row r="2583">
          <cell r="A2583">
            <v>3928</v>
          </cell>
          <cell r="B2583" t="str">
            <v>D</v>
          </cell>
          <cell r="C2583">
            <v>90.55</v>
          </cell>
        </row>
        <row r="2584">
          <cell r="A2584" t="str">
            <v>AF3928</v>
          </cell>
          <cell r="B2584" t="str">
            <v>D</v>
          </cell>
          <cell r="C2584">
            <v>70.930000000000007</v>
          </cell>
        </row>
        <row r="2585">
          <cell r="A2585">
            <v>3929</v>
          </cell>
          <cell r="B2585" t="str">
            <v>D</v>
          </cell>
          <cell r="C2585">
            <v>538.02</v>
          </cell>
        </row>
        <row r="2586">
          <cell r="A2586" t="str">
            <v>LAF3930</v>
          </cell>
          <cell r="B2586" t="str">
            <v>B</v>
          </cell>
          <cell r="C2586">
            <v>67.959999999999994</v>
          </cell>
        </row>
        <row r="2587">
          <cell r="A2587" t="str">
            <v>LAF3930MXM</v>
          </cell>
          <cell r="B2587" t="str">
            <v>N</v>
          </cell>
          <cell r="C2587">
            <v>70.92</v>
          </cell>
        </row>
        <row r="2588">
          <cell r="A2588" t="str">
            <v>LAF3931</v>
          </cell>
          <cell r="B2588" t="str">
            <v>D</v>
          </cell>
          <cell r="C2588">
            <v>102.09</v>
          </cell>
        </row>
        <row r="2589">
          <cell r="A2589" t="str">
            <v>AF3932</v>
          </cell>
          <cell r="B2589" t="str">
            <v>D</v>
          </cell>
          <cell r="C2589">
            <v>41.78</v>
          </cell>
        </row>
        <row r="2590">
          <cell r="A2590" t="str">
            <v>AF3933</v>
          </cell>
          <cell r="B2590" t="str">
            <v>D</v>
          </cell>
          <cell r="C2590">
            <v>13.02</v>
          </cell>
        </row>
        <row r="2591">
          <cell r="A2591" t="str">
            <v>LAF3934</v>
          </cell>
          <cell r="B2591" t="str">
            <v>D</v>
          </cell>
          <cell r="C2591">
            <v>49.13</v>
          </cell>
        </row>
        <row r="2592">
          <cell r="A2592" t="str">
            <v>AF3935</v>
          </cell>
          <cell r="B2592" t="str">
            <v>D</v>
          </cell>
          <cell r="C2592">
            <v>34.76</v>
          </cell>
        </row>
        <row r="2593">
          <cell r="A2593" t="str">
            <v>AF3936</v>
          </cell>
          <cell r="B2593" t="str">
            <v>D</v>
          </cell>
          <cell r="C2593">
            <v>26.12</v>
          </cell>
        </row>
        <row r="2594">
          <cell r="A2594" t="str">
            <v>AF3937</v>
          </cell>
          <cell r="B2594" t="str">
            <v>D</v>
          </cell>
          <cell r="C2594">
            <v>72.930000000000007</v>
          </cell>
        </row>
        <row r="2595">
          <cell r="A2595" t="str">
            <v>AF3938</v>
          </cell>
          <cell r="B2595" t="str">
            <v>D</v>
          </cell>
          <cell r="C2595">
            <v>27.06</v>
          </cell>
        </row>
        <row r="2596">
          <cell r="A2596" t="str">
            <v>AF3939</v>
          </cell>
          <cell r="B2596" t="str">
            <v>D</v>
          </cell>
          <cell r="C2596">
            <v>16.12</v>
          </cell>
        </row>
        <row r="2597">
          <cell r="A2597" t="str">
            <v>AF3940</v>
          </cell>
          <cell r="B2597" t="str">
            <v>D</v>
          </cell>
          <cell r="C2597">
            <v>66.540000000000006</v>
          </cell>
        </row>
        <row r="2598">
          <cell r="A2598">
            <v>3941</v>
          </cell>
          <cell r="B2598" t="str">
            <v>D</v>
          </cell>
          <cell r="C2598">
            <v>860.41</v>
          </cell>
        </row>
        <row r="2599">
          <cell r="A2599" t="str">
            <v>PH3942</v>
          </cell>
          <cell r="B2599" t="str">
            <v>C</v>
          </cell>
          <cell r="C2599">
            <v>7.79</v>
          </cell>
        </row>
        <row r="2600">
          <cell r="A2600">
            <v>3943</v>
          </cell>
          <cell r="B2600" t="str">
            <v>D</v>
          </cell>
          <cell r="C2600">
            <v>703.98</v>
          </cell>
        </row>
        <row r="2601">
          <cell r="A2601" t="str">
            <v>LFP3943</v>
          </cell>
          <cell r="B2601" t="str">
            <v>D</v>
          </cell>
          <cell r="C2601">
            <v>27.37</v>
          </cell>
        </row>
        <row r="2602">
          <cell r="A2602" t="str">
            <v>LFF3944</v>
          </cell>
          <cell r="B2602" t="str">
            <v>D</v>
          </cell>
          <cell r="C2602">
            <v>16.079999999999998</v>
          </cell>
        </row>
        <row r="2603">
          <cell r="A2603" t="str">
            <v>LAF3947</v>
          </cell>
          <cell r="B2603" t="str">
            <v>B</v>
          </cell>
          <cell r="C2603">
            <v>31.66</v>
          </cell>
        </row>
        <row r="2604">
          <cell r="A2604" t="str">
            <v>LAF3948</v>
          </cell>
          <cell r="B2604" t="str">
            <v>B</v>
          </cell>
          <cell r="C2604">
            <v>41.14</v>
          </cell>
        </row>
        <row r="2605">
          <cell r="A2605" t="str">
            <v>LAF3951</v>
          </cell>
          <cell r="B2605" t="str">
            <v>D</v>
          </cell>
          <cell r="C2605">
            <v>51.5</v>
          </cell>
        </row>
        <row r="2606">
          <cell r="A2606" t="str">
            <v>LAF3952</v>
          </cell>
          <cell r="B2606" t="str">
            <v>D</v>
          </cell>
          <cell r="C2606">
            <v>30.44</v>
          </cell>
        </row>
        <row r="2607">
          <cell r="A2607" t="str">
            <v>LAF3953</v>
          </cell>
          <cell r="B2607" t="str">
            <v>D</v>
          </cell>
          <cell r="C2607">
            <v>112.93</v>
          </cell>
        </row>
        <row r="2608">
          <cell r="A2608" t="str">
            <v>AF3954</v>
          </cell>
          <cell r="B2608" t="str">
            <v>D</v>
          </cell>
          <cell r="C2608">
            <v>81.67</v>
          </cell>
        </row>
        <row r="2609">
          <cell r="A2609" t="str">
            <v>AF3955</v>
          </cell>
          <cell r="B2609" t="str">
            <v>C</v>
          </cell>
          <cell r="C2609">
            <v>10.23</v>
          </cell>
        </row>
        <row r="2610">
          <cell r="A2610" t="str">
            <v>AF3956</v>
          </cell>
          <cell r="B2610" t="str">
            <v>D</v>
          </cell>
          <cell r="C2610">
            <v>17.21</v>
          </cell>
        </row>
        <row r="2611">
          <cell r="A2611" t="str">
            <v>AF3957</v>
          </cell>
          <cell r="B2611" t="str">
            <v>D</v>
          </cell>
          <cell r="C2611">
            <v>15.86</v>
          </cell>
        </row>
        <row r="2612">
          <cell r="A2612" t="str">
            <v>AF3958</v>
          </cell>
          <cell r="B2612" t="str">
            <v>D</v>
          </cell>
          <cell r="C2612">
            <v>14.24</v>
          </cell>
        </row>
        <row r="2613">
          <cell r="A2613" t="str">
            <v>AF3959</v>
          </cell>
          <cell r="B2613" t="str">
            <v>B</v>
          </cell>
          <cell r="C2613">
            <v>17.27</v>
          </cell>
        </row>
        <row r="2614">
          <cell r="A2614">
            <v>3960</v>
          </cell>
          <cell r="B2614" t="str">
            <v>D</v>
          </cell>
          <cell r="C2614">
            <v>750.64</v>
          </cell>
        </row>
        <row r="2615">
          <cell r="A2615" t="str">
            <v>AF3960</v>
          </cell>
          <cell r="B2615" t="str">
            <v>D</v>
          </cell>
          <cell r="C2615">
            <v>19.739999999999998</v>
          </cell>
        </row>
        <row r="2616">
          <cell r="A2616" t="str">
            <v>AF3961</v>
          </cell>
          <cell r="B2616" t="str">
            <v>D</v>
          </cell>
          <cell r="C2616">
            <v>34.94</v>
          </cell>
        </row>
        <row r="2617">
          <cell r="A2617" t="str">
            <v>AF3962</v>
          </cell>
          <cell r="B2617" t="str">
            <v>D</v>
          </cell>
          <cell r="C2617">
            <v>39.799999999999997</v>
          </cell>
        </row>
        <row r="2618">
          <cell r="A2618" t="str">
            <v>AF3963</v>
          </cell>
          <cell r="B2618" t="str">
            <v>D</v>
          </cell>
          <cell r="C2618">
            <v>17.03</v>
          </cell>
        </row>
        <row r="2619">
          <cell r="A2619" t="str">
            <v>LP3964</v>
          </cell>
          <cell r="B2619" t="str">
            <v>D</v>
          </cell>
          <cell r="C2619">
            <v>28.07</v>
          </cell>
        </row>
        <row r="2620">
          <cell r="A2620" t="str">
            <v>AF3965</v>
          </cell>
          <cell r="B2620" t="str">
            <v>D</v>
          </cell>
          <cell r="C2620">
            <v>30.17</v>
          </cell>
        </row>
        <row r="2621">
          <cell r="A2621" t="str">
            <v>AF3966</v>
          </cell>
          <cell r="B2621" t="str">
            <v>D</v>
          </cell>
          <cell r="C2621">
            <v>20.68</v>
          </cell>
        </row>
        <row r="2622">
          <cell r="A2622">
            <v>3967</v>
          </cell>
          <cell r="B2622" t="str">
            <v>D</v>
          </cell>
          <cell r="C2622">
            <v>7.79</v>
          </cell>
        </row>
        <row r="2623">
          <cell r="A2623" t="str">
            <v>3967B</v>
          </cell>
          <cell r="B2623" t="str">
            <v>D</v>
          </cell>
          <cell r="C2623">
            <v>4.04</v>
          </cell>
        </row>
        <row r="2624">
          <cell r="A2624" t="str">
            <v>P3968</v>
          </cell>
          <cell r="B2624" t="str">
            <v>D</v>
          </cell>
          <cell r="C2624">
            <v>26.71</v>
          </cell>
        </row>
        <row r="2625">
          <cell r="A2625" t="str">
            <v>P3969</v>
          </cell>
          <cell r="B2625" t="str">
            <v>C</v>
          </cell>
          <cell r="C2625">
            <v>25.67</v>
          </cell>
        </row>
        <row r="2626">
          <cell r="A2626" t="str">
            <v>LFP3970</v>
          </cell>
          <cell r="B2626" t="str">
            <v>A</v>
          </cell>
          <cell r="C2626">
            <v>14.02</v>
          </cell>
        </row>
        <row r="2627">
          <cell r="A2627">
            <v>3972</v>
          </cell>
          <cell r="B2627" t="str">
            <v>D</v>
          </cell>
          <cell r="C2627">
            <v>149.78</v>
          </cell>
        </row>
        <row r="2628">
          <cell r="A2628" t="str">
            <v>P3972</v>
          </cell>
          <cell r="B2628" t="str">
            <v>D</v>
          </cell>
          <cell r="C2628">
            <v>22.77</v>
          </cell>
        </row>
        <row r="2629">
          <cell r="A2629" t="str">
            <v>L3973F</v>
          </cell>
          <cell r="B2629" t="str">
            <v>D</v>
          </cell>
          <cell r="C2629">
            <v>24.63</v>
          </cell>
        </row>
        <row r="2630">
          <cell r="A2630" t="str">
            <v>AF3974</v>
          </cell>
          <cell r="B2630" t="str">
            <v>B</v>
          </cell>
          <cell r="C2630">
            <v>19.62</v>
          </cell>
        </row>
        <row r="2631">
          <cell r="A2631" t="str">
            <v>AF3975</v>
          </cell>
          <cell r="B2631" t="str">
            <v>B</v>
          </cell>
          <cell r="C2631">
            <v>12.39</v>
          </cell>
        </row>
        <row r="2632">
          <cell r="A2632" t="str">
            <v>AF3976</v>
          </cell>
          <cell r="B2632" t="str">
            <v>D</v>
          </cell>
          <cell r="C2632">
            <v>28.45</v>
          </cell>
        </row>
        <row r="2633">
          <cell r="A2633" t="str">
            <v>AF3977</v>
          </cell>
          <cell r="B2633" t="str">
            <v>D</v>
          </cell>
          <cell r="C2633">
            <v>16.600000000000001</v>
          </cell>
        </row>
        <row r="2634">
          <cell r="A2634" t="str">
            <v>AF3978</v>
          </cell>
          <cell r="B2634" t="str">
            <v>D</v>
          </cell>
          <cell r="C2634">
            <v>10.36</v>
          </cell>
        </row>
        <row r="2635">
          <cell r="A2635" t="str">
            <v>AF3981</v>
          </cell>
          <cell r="B2635" t="str">
            <v>D</v>
          </cell>
          <cell r="C2635">
            <v>17.510000000000002</v>
          </cell>
        </row>
        <row r="2636">
          <cell r="A2636" t="str">
            <v>AF3982</v>
          </cell>
          <cell r="B2636" t="str">
            <v>D</v>
          </cell>
          <cell r="C2636">
            <v>41.23</v>
          </cell>
        </row>
        <row r="2637">
          <cell r="A2637" t="str">
            <v>AF3983</v>
          </cell>
          <cell r="B2637" t="str">
            <v>D</v>
          </cell>
          <cell r="C2637">
            <v>16.12</v>
          </cell>
        </row>
        <row r="2638">
          <cell r="A2638" t="str">
            <v>AF3984</v>
          </cell>
          <cell r="B2638" t="str">
            <v>A</v>
          </cell>
          <cell r="C2638">
            <v>13.07</v>
          </cell>
        </row>
        <row r="2639">
          <cell r="A2639" t="str">
            <v>LP3985</v>
          </cell>
          <cell r="B2639" t="str">
            <v>C</v>
          </cell>
          <cell r="C2639">
            <v>32.57</v>
          </cell>
        </row>
        <row r="2640">
          <cell r="A2640" t="str">
            <v>P3986</v>
          </cell>
          <cell r="B2640" t="str">
            <v>B</v>
          </cell>
          <cell r="C2640">
            <v>11.17</v>
          </cell>
        </row>
        <row r="2641">
          <cell r="A2641" t="str">
            <v>P3987</v>
          </cell>
          <cell r="B2641" t="str">
            <v>D</v>
          </cell>
          <cell r="C2641">
            <v>45.75</v>
          </cell>
        </row>
        <row r="2642">
          <cell r="A2642" t="str">
            <v>AF3989</v>
          </cell>
          <cell r="B2642" t="str">
            <v>D</v>
          </cell>
          <cell r="C2642">
            <v>33.04</v>
          </cell>
        </row>
        <row r="2643">
          <cell r="A2643" t="str">
            <v>LFH3990-03</v>
          </cell>
          <cell r="B2643" t="str">
            <v>D</v>
          </cell>
          <cell r="C2643">
            <v>20.76</v>
          </cell>
        </row>
        <row r="2644">
          <cell r="A2644" t="str">
            <v>AF3991</v>
          </cell>
          <cell r="B2644" t="str">
            <v>D</v>
          </cell>
          <cell r="C2644">
            <v>10.79</v>
          </cell>
        </row>
        <row r="2645">
          <cell r="A2645" t="str">
            <v>AF3992</v>
          </cell>
          <cell r="B2645" t="str">
            <v>A</v>
          </cell>
          <cell r="C2645">
            <v>17.559999999999999</v>
          </cell>
        </row>
        <row r="2646">
          <cell r="A2646" t="str">
            <v>AF3993</v>
          </cell>
          <cell r="B2646" t="str">
            <v>B</v>
          </cell>
          <cell r="C2646">
            <v>13.59</v>
          </cell>
        </row>
        <row r="2647">
          <cell r="A2647" t="str">
            <v>AF3994</v>
          </cell>
          <cell r="B2647" t="str">
            <v>D</v>
          </cell>
          <cell r="C2647">
            <v>15.22</v>
          </cell>
        </row>
        <row r="2648">
          <cell r="A2648" t="str">
            <v>L3995F</v>
          </cell>
          <cell r="B2648" t="str">
            <v>C</v>
          </cell>
          <cell r="C2648">
            <v>83.74</v>
          </cell>
        </row>
        <row r="2649">
          <cell r="A2649" t="str">
            <v>AF3996</v>
          </cell>
          <cell r="B2649" t="str">
            <v>A</v>
          </cell>
          <cell r="C2649">
            <v>16.03</v>
          </cell>
        </row>
        <row r="2650">
          <cell r="A2650" t="str">
            <v>AF3997</v>
          </cell>
          <cell r="B2650" t="str">
            <v>D</v>
          </cell>
          <cell r="C2650">
            <v>22.56</v>
          </cell>
        </row>
        <row r="2651">
          <cell r="A2651" t="str">
            <v>AF3998</v>
          </cell>
          <cell r="B2651" t="str">
            <v>D</v>
          </cell>
          <cell r="C2651">
            <v>27.31</v>
          </cell>
        </row>
        <row r="2652">
          <cell r="A2652" t="str">
            <v>AF3999</v>
          </cell>
          <cell r="B2652" t="str">
            <v>D</v>
          </cell>
          <cell r="C2652">
            <v>17.68</v>
          </cell>
        </row>
        <row r="2653">
          <cell r="A2653" t="str">
            <v>AF4000</v>
          </cell>
          <cell r="B2653" t="str">
            <v>D</v>
          </cell>
          <cell r="C2653">
            <v>22.68</v>
          </cell>
        </row>
        <row r="2654">
          <cell r="A2654" t="str">
            <v>AF4001</v>
          </cell>
          <cell r="B2654" t="str">
            <v>D</v>
          </cell>
          <cell r="C2654">
            <v>23.16</v>
          </cell>
        </row>
        <row r="2655">
          <cell r="A2655" t="str">
            <v>AF4002</v>
          </cell>
          <cell r="B2655" t="str">
            <v>D</v>
          </cell>
          <cell r="C2655">
            <v>21.61</v>
          </cell>
        </row>
        <row r="2656">
          <cell r="A2656" t="str">
            <v>AF4003</v>
          </cell>
          <cell r="B2656" t="str">
            <v>B</v>
          </cell>
          <cell r="C2656">
            <v>18.59</v>
          </cell>
        </row>
        <row r="2657">
          <cell r="A2657" t="str">
            <v>AF4004</v>
          </cell>
          <cell r="B2657" t="str">
            <v>D</v>
          </cell>
          <cell r="C2657">
            <v>14.21</v>
          </cell>
        </row>
        <row r="2658">
          <cell r="A2658" t="str">
            <v>LFP4005</v>
          </cell>
          <cell r="B2658" t="str">
            <v>A</v>
          </cell>
          <cell r="C2658">
            <v>17.170000000000002</v>
          </cell>
        </row>
        <row r="2659">
          <cell r="A2659" t="str">
            <v>LFP4005RN</v>
          </cell>
          <cell r="B2659" t="str">
            <v>B</v>
          </cell>
          <cell r="C2659">
            <v>25.61</v>
          </cell>
        </row>
        <row r="2660">
          <cell r="A2660" t="str">
            <v>LFP4005SC</v>
          </cell>
          <cell r="B2660" t="str">
            <v>D</v>
          </cell>
          <cell r="C2660">
            <v>21.98</v>
          </cell>
        </row>
        <row r="2661">
          <cell r="A2661" t="str">
            <v>LFP4005TRT</v>
          </cell>
          <cell r="B2661" t="str">
            <v>D</v>
          </cell>
          <cell r="C2661">
            <v>56.38</v>
          </cell>
        </row>
        <row r="2662">
          <cell r="A2662" t="str">
            <v>LFP4005XL</v>
          </cell>
          <cell r="B2662" t="str">
            <v>C</v>
          </cell>
          <cell r="C2662">
            <v>54.35</v>
          </cell>
        </row>
        <row r="2663">
          <cell r="A2663" t="str">
            <v>AF4006</v>
          </cell>
          <cell r="B2663" t="str">
            <v>D</v>
          </cell>
          <cell r="C2663">
            <v>45.87</v>
          </cell>
        </row>
        <row r="2664">
          <cell r="A2664" t="str">
            <v>AF4007</v>
          </cell>
          <cell r="B2664" t="str">
            <v>D</v>
          </cell>
          <cell r="C2664">
            <v>43.13</v>
          </cell>
        </row>
        <row r="2665">
          <cell r="A2665">
            <v>4008</v>
          </cell>
          <cell r="B2665" t="str">
            <v>D</v>
          </cell>
          <cell r="C2665">
            <v>3335.23</v>
          </cell>
        </row>
        <row r="2666">
          <cell r="A2666" t="str">
            <v>AF4008</v>
          </cell>
          <cell r="B2666" t="str">
            <v>A</v>
          </cell>
          <cell r="C2666">
            <v>13.69</v>
          </cell>
        </row>
        <row r="2667">
          <cell r="A2667">
            <v>4009</v>
          </cell>
          <cell r="B2667" t="str">
            <v>D</v>
          </cell>
          <cell r="C2667">
            <v>2930.18</v>
          </cell>
        </row>
        <row r="2668">
          <cell r="A2668" t="str">
            <v>AF4009</v>
          </cell>
          <cell r="B2668" t="str">
            <v>D</v>
          </cell>
          <cell r="C2668">
            <v>54.62</v>
          </cell>
        </row>
        <row r="2669">
          <cell r="A2669" t="str">
            <v>AF4010</v>
          </cell>
          <cell r="B2669" t="str">
            <v>D</v>
          </cell>
          <cell r="C2669">
            <v>20.03</v>
          </cell>
        </row>
        <row r="2670">
          <cell r="A2670" t="str">
            <v>AF4011</v>
          </cell>
          <cell r="B2670" t="str">
            <v>D</v>
          </cell>
          <cell r="C2670">
            <v>15.84</v>
          </cell>
        </row>
        <row r="2671">
          <cell r="A2671" t="str">
            <v>AF4012</v>
          </cell>
          <cell r="B2671" t="str">
            <v>A</v>
          </cell>
          <cell r="C2671">
            <v>16.11</v>
          </cell>
        </row>
        <row r="2672">
          <cell r="A2672" t="str">
            <v>AF4014</v>
          </cell>
          <cell r="B2672" t="str">
            <v>D</v>
          </cell>
          <cell r="C2672">
            <v>18.72</v>
          </cell>
        </row>
        <row r="2673">
          <cell r="A2673" t="str">
            <v>AF4015</v>
          </cell>
          <cell r="B2673" t="str">
            <v>A</v>
          </cell>
          <cell r="C2673">
            <v>17.8</v>
          </cell>
        </row>
        <row r="2674">
          <cell r="A2674" t="str">
            <v>AF4017</v>
          </cell>
          <cell r="B2674" t="str">
            <v>B</v>
          </cell>
          <cell r="C2674">
            <v>18.149999999999999</v>
          </cell>
        </row>
        <row r="2675">
          <cell r="A2675" t="str">
            <v>LFW4018</v>
          </cell>
          <cell r="B2675" t="str">
            <v>D</v>
          </cell>
          <cell r="C2675">
            <v>23.79</v>
          </cell>
        </row>
        <row r="2676">
          <cell r="A2676" t="str">
            <v>AF4019</v>
          </cell>
          <cell r="B2676" t="str">
            <v>D</v>
          </cell>
          <cell r="C2676">
            <v>17.52</v>
          </cell>
        </row>
        <row r="2677">
          <cell r="A2677" t="str">
            <v>AF4020</v>
          </cell>
          <cell r="B2677" t="str">
            <v>D</v>
          </cell>
          <cell r="C2677">
            <v>14.81</v>
          </cell>
        </row>
        <row r="2678">
          <cell r="A2678" t="str">
            <v>AF4021</v>
          </cell>
          <cell r="B2678" t="str">
            <v>D</v>
          </cell>
          <cell r="C2678">
            <v>20.329999999999998</v>
          </cell>
        </row>
        <row r="2679">
          <cell r="A2679" t="str">
            <v>AF4022</v>
          </cell>
          <cell r="B2679" t="str">
            <v>D</v>
          </cell>
          <cell r="C2679">
            <v>20.5</v>
          </cell>
        </row>
        <row r="2680">
          <cell r="A2680" t="str">
            <v>AF4023</v>
          </cell>
          <cell r="B2680" t="str">
            <v>B</v>
          </cell>
          <cell r="C2680">
            <v>13.04</v>
          </cell>
        </row>
        <row r="2681">
          <cell r="A2681">
            <v>4025</v>
          </cell>
          <cell r="B2681" t="str">
            <v>D</v>
          </cell>
          <cell r="C2681">
            <v>522.84</v>
          </cell>
        </row>
        <row r="2682">
          <cell r="A2682" t="str">
            <v>AF4025</v>
          </cell>
          <cell r="B2682" t="str">
            <v>A</v>
          </cell>
          <cell r="C2682">
            <v>16.21</v>
          </cell>
        </row>
        <row r="2683">
          <cell r="A2683" t="str">
            <v>AF4026</v>
          </cell>
          <cell r="B2683" t="str">
            <v>D</v>
          </cell>
          <cell r="C2683">
            <v>22.28</v>
          </cell>
        </row>
        <row r="2684">
          <cell r="A2684" t="str">
            <v>AF4027</v>
          </cell>
          <cell r="B2684" t="str">
            <v>D</v>
          </cell>
          <cell r="C2684">
            <v>21.58</v>
          </cell>
        </row>
        <row r="2685">
          <cell r="A2685" t="str">
            <v>AF4028</v>
          </cell>
          <cell r="B2685" t="str">
            <v>D</v>
          </cell>
          <cell r="C2685">
            <v>23.18</v>
          </cell>
        </row>
        <row r="2686">
          <cell r="A2686" t="str">
            <v>AF4029</v>
          </cell>
          <cell r="B2686" t="str">
            <v>B</v>
          </cell>
          <cell r="C2686">
            <v>21.34</v>
          </cell>
        </row>
        <row r="2687">
          <cell r="A2687" t="str">
            <v>AF4030</v>
          </cell>
          <cell r="B2687" t="str">
            <v>B</v>
          </cell>
          <cell r="C2687">
            <v>19.190000000000001</v>
          </cell>
        </row>
        <row r="2688">
          <cell r="A2688" t="str">
            <v>AF4031</v>
          </cell>
          <cell r="B2688" t="str">
            <v>D</v>
          </cell>
          <cell r="C2688">
            <v>25.91</v>
          </cell>
        </row>
        <row r="2689">
          <cell r="A2689" t="str">
            <v>AF4033</v>
          </cell>
          <cell r="B2689" t="str">
            <v>B</v>
          </cell>
          <cell r="C2689">
            <v>17.45</v>
          </cell>
        </row>
        <row r="2690">
          <cell r="A2690" t="str">
            <v>AF4034</v>
          </cell>
          <cell r="B2690" t="str">
            <v>B</v>
          </cell>
          <cell r="C2690">
            <v>18.55</v>
          </cell>
        </row>
        <row r="2691">
          <cell r="A2691" t="str">
            <v>AF4035</v>
          </cell>
          <cell r="B2691" t="str">
            <v>D</v>
          </cell>
          <cell r="C2691">
            <v>21.05</v>
          </cell>
        </row>
        <row r="2692">
          <cell r="A2692" t="str">
            <v>LFF4036A</v>
          </cell>
          <cell r="B2692" t="str">
            <v>D</v>
          </cell>
          <cell r="C2692">
            <v>23.2</v>
          </cell>
        </row>
        <row r="2693">
          <cell r="A2693" t="str">
            <v>AF4037</v>
          </cell>
          <cell r="B2693" t="str">
            <v>D</v>
          </cell>
          <cell r="C2693">
            <v>26.93</v>
          </cell>
        </row>
        <row r="2694">
          <cell r="A2694" t="str">
            <v>AF4038</v>
          </cell>
          <cell r="B2694" t="str">
            <v>B</v>
          </cell>
          <cell r="C2694">
            <v>13.39</v>
          </cell>
        </row>
        <row r="2695">
          <cell r="A2695">
            <v>4040</v>
          </cell>
          <cell r="B2695" t="str">
            <v>D</v>
          </cell>
          <cell r="C2695">
            <v>510.57</v>
          </cell>
        </row>
        <row r="2696">
          <cell r="A2696" t="str">
            <v>LAF4040</v>
          </cell>
          <cell r="B2696" t="str">
            <v>D</v>
          </cell>
          <cell r="C2696">
            <v>86.6</v>
          </cell>
        </row>
        <row r="2697">
          <cell r="A2697">
            <v>4041</v>
          </cell>
          <cell r="B2697" t="str">
            <v>D</v>
          </cell>
          <cell r="C2697">
            <v>5.34</v>
          </cell>
        </row>
        <row r="2698">
          <cell r="A2698" t="str">
            <v>AF4042</v>
          </cell>
          <cell r="B2698" t="str">
            <v>D</v>
          </cell>
          <cell r="C2698">
            <v>17.559999999999999</v>
          </cell>
        </row>
        <row r="2699">
          <cell r="A2699" t="str">
            <v>AF4043</v>
          </cell>
          <cell r="B2699" t="str">
            <v>D</v>
          </cell>
          <cell r="C2699">
            <v>26.81</v>
          </cell>
        </row>
        <row r="2700">
          <cell r="A2700" t="str">
            <v>AF4044</v>
          </cell>
          <cell r="B2700" t="str">
            <v>D</v>
          </cell>
          <cell r="C2700">
            <v>17.84</v>
          </cell>
        </row>
        <row r="2701">
          <cell r="A2701" t="str">
            <v>AF4045</v>
          </cell>
          <cell r="B2701" t="str">
            <v>D</v>
          </cell>
          <cell r="C2701">
            <v>17.989999999999998</v>
          </cell>
        </row>
        <row r="2702">
          <cell r="A2702" t="str">
            <v>AF4046</v>
          </cell>
          <cell r="B2702" t="str">
            <v>D</v>
          </cell>
          <cell r="C2702">
            <v>28.41</v>
          </cell>
        </row>
        <row r="2703">
          <cell r="A2703" t="str">
            <v>AF4048</v>
          </cell>
          <cell r="B2703" t="str">
            <v>A</v>
          </cell>
          <cell r="C2703">
            <v>8.66</v>
          </cell>
        </row>
        <row r="2704">
          <cell r="A2704" t="str">
            <v>AF4049</v>
          </cell>
          <cell r="B2704" t="str">
            <v>D</v>
          </cell>
          <cell r="C2704">
            <v>43.62</v>
          </cell>
        </row>
        <row r="2705">
          <cell r="A2705" t="str">
            <v>AF4050</v>
          </cell>
          <cell r="B2705" t="str">
            <v>D</v>
          </cell>
          <cell r="C2705">
            <v>17.48</v>
          </cell>
        </row>
        <row r="2706">
          <cell r="A2706" t="str">
            <v>AF4051</v>
          </cell>
          <cell r="B2706" t="str">
            <v>D</v>
          </cell>
          <cell r="C2706">
            <v>45.04</v>
          </cell>
        </row>
        <row r="2707">
          <cell r="A2707" t="str">
            <v>AF4052</v>
          </cell>
          <cell r="B2707" t="str">
            <v>D</v>
          </cell>
          <cell r="C2707">
            <v>16.46</v>
          </cell>
        </row>
        <row r="2708">
          <cell r="A2708" t="str">
            <v>AF4054</v>
          </cell>
          <cell r="B2708" t="str">
            <v>D</v>
          </cell>
          <cell r="C2708">
            <v>25.78</v>
          </cell>
        </row>
        <row r="2709">
          <cell r="A2709" t="str">
            <v>AF4055</v>
          </cell>
          <cell r="B2709" t="str">
            <v>D</v>
          </cell>
          <cell r="C2709">
            <v>10.36</v>
          </cell>
        </row>
        <row r="2710">
          <cell r="A2710" t="str">
            <v>AF4056</v>
          </cell>
          <cell r="B2710" t="str">
            <v>D</v>
          </cell>
          <cell r="C2710">
            <v>30.71</v>
          </cell>
        </row>
        <row r="2711">
          <cell r="A2711" t="str">
            <v>AF4057</v>
          </cell>
          <cell r="B2711" t="str">
            <v>D</v>
          </cell>
          <cell r="C2711">
            <v>19.07</v>
          </cell>
        </row>
        <row r="2712">
          <cell r="A2712" t="str">
            <v>AF4058</v>
          </cell>
          <cell r="B2712" t="str">
            <v>D</v>
          </cell>
          <cell r="C2712">
            <v>64.5</v>
          </cell>
        </row>
        <row r="2713">
          <cell r="A2713" t="str">
            <v>AF4059</v>
          </cell>
          <cell r="B2713" t="str">
            <v>D</v>
          </cell>
          <cell r="C2713">
            <v>19.510000000000002</v>
          </cell>
        </row>
        <row r="2714">
          <cell r="A2714" t="str">
            <v>AF4062</v>
          </cell>
          <cell r="B2714" t="str">
            <v>D</v>
          </cell>
          <cell r="C2714">
            <v>12.97</v>
          </cell>
        </row>
        <row r="2715">
          <cell r="A2715" t="str">
            <v>AF4063</v>
          </cell>
          <cell r="B2715" t="str">
            <v>D</v>
          </cell>
          <cell r="C2715">
            <v>13.71</v>
          </cell>
        </row>
        <row r="2716">
          <cell r="A2716" t="str">
            <v>AF4064</v>
          </cell>
          <cell r="B2716" t="str">
            <v>D</v>
          </cell>
          <cell r="C2716">
            <v>18.350000000000001</v>
          </cell>
        </row>
        <row r="2717">
          <cell r="A2717" t="str">
            <v>AF4065</v>
          </cell>
          <cell r="B2717" t="str">
            <v>D</v>
          </cell>
          <cell r="C2717">
            <v>11.21</v>
          </cell>
        </row>
        <row r="2718">
          <cell r="A2718" t="str">
            <v>AF4066</v>
          </cell>
          <cell r="B2718" t="str">
            <v>D</v>
          </cell>
          <cell r="C2718">
            <v>12.32</v>
          </cell>
        </row>
        <row r="2719">
          <cell r="A2719" t="str">
            <v>AF4067</v>
          </cell>
          <cell r="B2719" t="str">
            <v>D</v>
          </cell>
          <cell r="C2719">
            <v>13.53</v>
          </cell>
        </row>
        <row r="2720">
          <cell r="A2720">
            <v>4069</v>
          </cell>
          <cell r="B2720" t="str">
            <v>D</v>
          </cell>
          <cell r="C2720">
            <v>15.57</v>
          </cell>
        </row>
        <row r="2721">
          <cell r="A2721" t="str">
            <v>4069B</v>
          </cell>
          <cell r="B2721" t="str">
            <v>B</v>
          </cell>
          <cell r="C2721">
            <v>0.33</v>
          </cell>
        </row>
        <row r="2722">
          <cell r="A2722" t="str">
            <v>LFW4071</v>
          </cell>
          <cell r="B2722" t="str">
            <v>A</v>
          </cell>
          <cell r="C2722">
            <v>11.65</v>
          </cell>
        </row>
        <row r="2723">
          <cell r="A2723" t="str">
            <v>LFW4072</v>
          </cell>
          <cell r="B2723" t="str">
            <v>B</v>
          </cell>
          <cell r="C2723">
            <v>15.77</v>
          </cell>
        </row>
        <row r="2724">
          <cell r="A2724">
            <v>4073</v>
          </cell>
          <cell r="B2724" t="str">
            <v>D</v>
          </cell>
          <cell r="C2724">
            <v>499.07</v>
          </cell>
        </row>
        <row r="2725">
          <cell r="A2725" t="str">
            <v>LFW4073</v>
          </cell>
          <cell r="B2725" t="str">
            <v>B</v>
          </cell>
          <cell r="C2725">
            <v>19.309999999999999</v>
          </cell>
        </row>
        <row r="2726">
          <cell r="A2726" t="str">
            <v>LFW4074</v>
          </cell>
          <cell r="B2726" t="str">
            <v>B</v>
          </cell>
          <cell r="C2726">
            <v>21.73</v>
          </cell>
        </row>
        <row r="2727">
          <cell r="A2727" t="str">
            <v>LFW4075</v>
          </cell>
          <cell r="B2727" t="str">
            <v>B</v>
          </cell>
          <cell r="C2727">
            <v>22.51</v>
          </cell>
        </row>
        <row r="2728">
          <cell r="A2728" t="str">
            <v>LW4076XL</v>
          </cell>
          <cell r="B2728" t="str">
            <v>D</v>
          </cell>
          <cell r="C2728">
            <v>61</v>
          </cell>
        </row>
        <row r="2729">
          <cell r="A2729" t="str">
            <v>LFH4081</v>
          </cell>
          <cell r="B2729" t="str">
            <v>D</v>
          </cell>
          <cell r="C2729">
            <v>17.309999999999999</v>
          </cell>
        </row>
        <row r="2730">
          <cell r="A2730" t="str">
            <v>RG4082</v>
          </cell>
          <cell r="B2730" t="str">
            <v>B</v>
          </cell>
          <cell r="C2730">
            <v>64.33</v>
          </cell>
        </row>
        <row r="2731">
          <cell r="A2731" t="str">
            <v>LP4083</v>
          </cell>
          <cell r="B2731" t="str">
            <v>N</v>
          </cell>
          <cell r="C2731">
            <v>28.8</v>
          </cell>
        </row>
        <row r="2732">
          <cell r="A2732">
            <v>4084</v>
          </cell>
          <cell r="B2732" t="str">
            <v>D</v>
          </cell>
          <cell r="C2732">
            <v>76.25</v>
          </cell>
        </row>
        <row r="2733">
          <cell r="A2733" t="str">
            <v>LH4100</v>
          </cell>
          <cell r="B2733" t="str">
            <v>D</v>
          </cell>
          <cell r="C2733">
            <v>114.82</v>
          </cell>
        </row>
        <row r="2734">
          <cell r="A2734" t="str">
            <v>LH4100V</v>
          </cell>
          <cell r="B2734" t="str">
            <v>N</v>
          </cell>
          <cell r="C2734">
            <v>96.89</v>
          </cell>
        </row>
        <row r="2735">
          <cell r="A2735" t="str">
            <v>LH4101</v>
          </cell>
          <cell r="B2735" t="str">
            <v>B</v>
          </cell>
          <cell r="C2735">
            <v>39.229999999999997</v>
          </cell>
        </row>
        <row r="2736">
          <cell r="A2736" t="str">
            <v>LFF4102</v>
          </cell>
          <cell r="B2736" t="str">
            <v>D</v>
          </cell>
          <cell r="C2736">
            <v>58.67</v>
          </cell>
        </row>
        <row r="2737">
          <cell r="A2737" t="str">
            <v>LFF4102D</v>
          </cell>
          <cell r="B2737" t="str">
            <v>D</v>
          </cell>
          <cell r="C2737">
            <v>49.78</v>
          </cell>
        </row>
        <row r="2738">
          <cell r="A2738" t="str">
            <v>L4103F</v>
          </cell>
          <cell r="B2738" t="str">
            <v>D</v>
          </cell>
          <cell r="C2738">
            <v>12.26</v>
          </cell>
        </row>
        <row r="2739">
          <cell r="A2739" t="str">
            <v>L4109F</v>
          </cell>
          <cell r="B2739" t="str">
            <v>N</v>
          </cell>
          <cell r="C2739">
            <v>28.14</v>
          </cell>
        </row>
        <row r="2740">
          <cell r="A2740" t="str">
            <v>L4110F</v>
          </cell>
          <cell r="B2740" t="str">
            <v>N</v>
          </cell>
          <cell r="C2740">
            <v>37.619999999999997</v>
          </cell>
        </row>
        <row r="2741">
          <cell r="A2741" t="str">
            <v>L4115F</v>
          </cell>
          <cell r="B2741" t="str">
            <v>D</v>
          </cell>
          <cell r="C2741">
            <v>17.88</v>
          </cell>
        </row>
        <row r="2742">
          <cell r="A2742" t="str">
            <v>L4116F</v>
          </cell>
          <cell r="B2742" t="str">
            <v>D</v>
          </cell>
          <cell r="C2742">
            <v>26.34</v>
          </cell>
        </row>
        <row r="2743">
          <cell r="A2743" t="str">
            <v>L4118F</v>
          </cell>
          <cell r="B2743" t="str">
            <v>D</v>
          </cell>
          <cell r="C2743">
            <v>57.33</v>
          </cell>
        </row>
        <row r="2744">
          <cell r="A2744" t="str">
            <v>L4119F</v>
          </cell>
          <cell r="B2744" t="str">
            <v>D</v>
          </cell>
          <cell r="C2744">
            <v>27.15</v>
          </cell>
        </row>
        <row r="2745">
          <cell r="A2745" t="str">
            <v>LAF4121</v>
          </cell>
          <cell r="B2745" t="str">
            <v>D</v>
          </cell>
          <cell r="C2745">
            <v>68.73</v>
          </cell>
        </row>
        <row r="2746">
          <cell r="A2746" t="str">
            <v>LAF4122</v>
          </cell>
          <cell r="B2746" t="str">
            <v>D</v>
          </cell>
          <cell r="C2746">
            <v>76.05</v>
          </cell>
        </row>
        <row r="2747">
          <cell r="A2747" t="str">
            <v>LAF4123</v>
          </cell>
          <cell r="B2747" t="str">
            <v>D</v>
          </cell>
          <cell r="C2747">
            <v>68.349999999999994</v>
          </cell>
        </row>
        <row r="2748">
          <cell r="A2748" t="str">
            <v>LAF4126</v>
          </cell>
          <cell r="B2748" t="str">
            <v>D</v>
          </cell>
          <cell r="C2748">
            <v>70.72</v>
          </cell>
        </row>
        <row r="2749">
          <cell r="A2749" t="str">
            <v>LAF4131</v>
          </cell>
          <cell r="B2749" t="str">
            <v>D</v>
          </cell>
          <cell r="C2749">
            <v>62.76</v>
          </cell>
        </row>
        <row r="2750">
          <cell r="A2750" t="str">
            <v>LAF4132</v>
          </cell>
          <cell r="B2750" t="str">
            <v>D</v>
          </cell>
          <cell r="C2750">
            <v>154.08000000000001</v>
          </cell>
        </row>
        <row r="2751">
          <cell r="A2751" t="str">
            <v>LAF4134</v>
          </cell>
          <cell r="B2751" t="str">
            <v>D</v>
          </cell>
          <cell r="C2751">
            <v>88.27</v>
          </cell>
        </row>
        <row r="2752">
          <cell r="A2752" t="str">
            <v>LFF4136</v>
          </cell>
          <cell r="B2752" t="str">
            <v>D</v>
          </cell>
          <cell r="C2752">
            <v>14.12</v>
          </cell>
        </row>
        <row r="2753">
          <cell r="A2753" t="str">
            <v>LAF4138</v>
          </cell>
          <cell r="B2753" t="str">
            <v>D</v>
          </cell>
          <cell r="C2753">
            <v>114.38</v>
          </cell>
        </row>
        <row r="2754">
          <cell r="A2754" t="str">
            <v>LAF4140</v>
          </cell>
          <cell r="B2754" t="str">
            <v>N</v>
          </cell>
          <cell r="C2754">
            <v>38.22</v>
          </cell>
        </row>
        <row r="2755">
          <cell r="A2755" t="str">
            <v>LAF4145</v>
          </cell>
          <cell r="B2755" t="str">
            <v>D</v>
          </cell>
          <cell r="C2755">
            <v>120.98</v>
          </cell>
        </row>
        <row r="2756">
          <cell r="A2756" t="str">
            <v>LAF4146</v>
          </cell>
          <cell r="B2756" t="str">
            <v>D</v>
          </cell>
          <cell r="C2756">
            <v>34.909999999999997</v>
          </cell>
        </row>
        <row r="2757">
          <cell r="A2757">
            <v>4147</v>
          </cell>
          <cell r="B2757" t="str">
            <v>D</v>
          </cell>
          <cell r="C2757">
            <v>510.52</v>
          </cell>
        </row>
        <row r="2758">
          <cell r="A2758" t="str">
            <v>LAF4148</v>
          </cell>
          <cell r="B2758" t="str">
            <v>D</v>
          </cell>
          <cell r="C2758">
            <v>120.95</v>
          </cell>
        </row>
        <row r="2759">
          <cell r="A2759" t="str">
            <v>LAF4149</v>
          </cell>
          <cell r="B2759" t="str">
            <v>D</v>
          </cell>
          <cell r="C2759">
            <v>235.67</v>
          </cell>
        </row>
        <row r="2760">
          <cell r="A2760" t="str">
            <v>LAF4150</v>
          </cell>
          <cell r="B2760" t="str">
            <v>D</v>
          </cell>
          <cell r="C2760">
            <v>68.349999999999994</v>
          </cell>
        </row>
        <row r="2761">
          <cell r="A2761" t="str">
            <v>LAF4155</v>
          </cell>
          <cell r="B2761" t="str">
            <v>D</v>
          </cell>
          <cell r="C2761">
            <v>51.26</v>
          </cell>
        </row>
        <row r="2762">
          <cell r="A2762" t="str">
            <v>LAF4156</v>
          </cell>
          <cell r="B2762" t="str">
            <v>D</v>
          </cell>
          <cell r="C2762">
            <v>85.49</v>
          </cell>
        </row>
        <row r="2763">
          <cell r="A2763" t="str">
            <v>LAF4157</v>
          </cell>
          <cell r="B2763" t="str">
            <v>D</v>
          </cell>
          <cell r="C2763">
            <v>69.430000000000007</v>
          </cell>
        </row>
        <row r="2764">
          <cell r="A2764" t="str">
            <v>LAF4158</v>
          </cell>
          <cell r="B2764" t="str">
            <v>D</v>
          </cell>
          <cell r="C2764">
            <v>42.57</v>
          </cell>
        </row>
        <row r="2765">
          <cell r="A2765" t="str">
            <v>LAF4159</v>
          </cell>
          <cell r="B2765" t="str">
            <v>D</v>
          </cell>
          <cell r="C2765">
            <v>52.54</v>
          </cell>
        </row>
        <row r="2766">
          <cell r="A2766" t="str">
            <v>LAF4162</v>
          </cell>
          <cell r="B2766" t="str">
            <v>N</v>
          </cell>
          <cell r="C2766">
            <v>30.67</v>
          </cell>
        </row>
        <row r="2767">
          <cell r="A2767" t="str">
            <v>LAF4163</v>
          </cell>
          <cell r="B2767" t="str">
            <v>D</v>
          </cell>
          <cell r="C2767">
            <v>61.52</v>
          </cell>
        </row>
        <row r="2768">
          <cell r="A2768" t="str">
            <v>LAF4164</v>
          </cell>
          <cell r="B2768" t="str">
            <v>D</v>
          </cell>
          <cell r="C2768">
            <v>58.92</v>
          </cell>
        </row>
        <row r="2769">
          <cell r="A2769" t="str">
            <v>LAF4165</v>
          </cell>
          <cell r="B2769" t="str">
            <v>D</v>
          </cell>
          <cell r="C2769">
            <v>124.3</v>
          </cell>
        </row>
        <row r="2770">
          <cell r="A2770" t="str">
            <v>LH4166</v>
          </cell>
          <cell r="B2770" t="str">
            <v>D</v>
          </cell>
          <cell r="C2770">
            <v>81.44</v>
          </cell>
        </row>
        <row r="2771">
          <cell r="A2771">
            <v>4167</v>
          </cell>
          <cell r="B2771" t="str">
            <v>D</v>
          </cell>
          <cell r="C2771">
            <v>22.76</v>
          </cell>
        </row>
        <row r="2772">
          <cell r="A2772" t="str">
            <v>LAF4167</v>
          </cell>
          <cell r="B2772" t="str">
            <v>D</v>
          </cell>
          <cell r="C2772">
            <v>95.21</v>
          </cell>
        </row>
        <row r="2773">
          <cell r="A2773">
            <v>4168</v>
          </cell>
          <cell r="B2773" t="str">
            <v>D</v>
          </cell>
          <cell r="C2773">
            <v>69.040000000000006</v>
          </cell>
        </row>
        <row r="2774">
          <cell r="A2774" t="str">
            <v>LAF4169</v>
          </cell>
          <cell r="B2774" t="str">
            <v>D</v>
          </cell>
          <cell r="C2774">
            <v>78.47</v>
          </cell>
        </row>
        <row r="2775">
          <cell r="A2775" t="str">
            <v>LH4170</v>
          </cell>
          <cell r="B2775" t="str">
            <v>D</v>
          </cell>
          <cell r="C2775">
            <v>130.80000000000001</v>
          </cell>
        </row>
        <row r="2776">
          <cell r="A2776" t="str">
            <v>LAF4171</v>
          </cell>
          <cell r="B2776" t="str">
            <v>D</v>
          </cell>
          <cell r="C2776">
            <v>113.65</v>
          </cell>
        </row>
        <row r="2777">
          <cell r="A2777" t="str">
            <v>LAF4173</v>
          </cell>
          <cell r="B2777" t="str">
            <v>D</v>
          </cell>
          <cell r="C2777">
            <v>78.75</v>
          </cell>
        </row>
        <row r="2778">
          <cell r="A2778" t="str">
            <v>LH4174</v>
          </cell>
          <cell r="B2778" t="str">
            <v>D</v>
          </cell>
          <cell r="C2778">
            <v>86.45</v>
          </cell>
        </row>
        <row r="2779">
          <cell r="A2779" t="str">
            <v>LAF4175</v>
          </cell>
          <cell r="B2779" t="str">
            <v>D</v>
          </cell>
          <cell r="C2779">
            <v>61.38</v>
          </cell>
        </row>
        <row r="2780">
          <cell r="A2780" t="str">
            <v>LAF4176</v>
          </cell>
          <cell r="B2780" t="str">
            <v>D</v>
          </cell>
          <cell r="C2780">
            <v>84.9</v>
          </cell>
        </row>
        <row r="2781">
          <cell r="A2781" t="str">
            <v>LH4178</v>
          </cell>
          <cell r="B2781" t="str">
            <v>D</v>
          </cell>
          <cell r="C2781">
            <v>126.17</v>
          </cell>
        </row>
        <row r="2782">
          <cell r="A2782" t="str">
            <v>LAF4179</v>
          </cell>
          <cell r="B2782" t="str">
            <v>N</v>
          </cell>
          <cell r="C2782">
            <v>44.24</v>
          </cell>
        </row>
        <row r="2783">
          <cell r="A2783" t="str">
            <v>LAF4180</v>
          </cell>
          <cell r="B2783" t="str">
            <v>D</v>
          </cell>
          <cell r="C2783">
            <v>73.84</v>
          </cell>
        </row>
        <row r="2784">
          <cell r="A2784" t="str">
            <v>4181X</v>
          </cell>
          <cell r="B2784" t="str">
            <v>D</v>
          </cell>
          <cell r="C2784">
            <v>9.34</v>
          </cell>
        </row>
        <row r="2785">
          <cell r="A2785" t="str">
            <v>LAF4181</v>
          </cell>
          <cell r="B2785" t="str">
            <v>D</v>
          </cell>
          <cell r="C2785">
            <v>90.89</v>
          </cell>
        </row>
        <row r="2786">
          <cell r="A2786" t="str">
            <v>LAF4183</v>
          </cell>
          <cell r="B2786" t="str">
            <v>D</v>
          </cell>
          <cell r="C2786">
            <v>57.07</v>
          </cell>
        </row>
        <row r="2787">
          <cell r="A2787">
            <v>4185</v>
          </cell>
          <cell r="B2787" t="str">
            <v>D</v>
          </cell>
          <cell r="C2787">
            <v>7.54</v>
          </cell>
        </row>
        <row r="2788">
          <cell r="A2788">
            <v>4186</v>
          </cell>
          <cell r="B2788" t="str">
            <v>D</v>
          </cell>
          <cell r="C2788">
            <v>18.03</v>
          </cell>
        </row>
        <row r="2789">
          <cell r="A2789" t="str">
            <v>LAF4186</v>
          </cell>
          <cell r="B2789" t="str">
            <v>D</v>
          </cell>
          <cell r="C2789">
            <v>80.319999999999993</v>
          </cell>
        </row>
        <row r="2790">
          <cell r="A2790" t="str">
            <v>LAF4187</v>
          </cell>
          <cell r="B2790" t="str">
            <v>D</v>
          </cell>
          <cell r="C2790">
            <v>50.01</v>
          </cell>
        </row>
        <row r="2791">
          <cell r="A2791">
            <v>4190</v>
          </cell>
          <cell r="B2791" t="str">
            <v>D</v>
          </cell>
          <cell r="C2791">
            <v>2.64</v>
          </cell>
        </row>
        <row r="2792">
          <cell r="A2792" t="str">
            <v>LAF4191</v>
          </cell>
          <cell r="B2792" t="str">
            <v>D</v>
          </cell>
          <cell r="C2792">
            <v>42.49</v>
          </cell>
        </row>
        <row r="2793">
          <cell r="A2793" t="str">
            <v>LAF4193</v>
          </cell>
          <cell r="B2793" t="str">
            <v>D</v>
          </cell>
          <cell r="C2793">
            <v>60.23</v>
          </cell>
        </row>
        <row r="2794">
          <cell r="A2794" t="str">
            <v>LAF4194</v>
          </cell>
          <cell r="B2794" t="str">
            <v>D</v>
          </cell>
          <cell r="C2794">
            <v>43.92</v>
          </cell>
        </row>
        <row r="2795">
          <cell r="A2795" t="str">
            <v>LAF4195</v>
          </cell>
          <cell r="B2795" t="str">
            <v>D</v>
          </cell>
          <cell r="C2795">
            <v>81.22</v>
          </cell>
        </row>
        <row r="2796">
          <cell r="A2796" t="str">
            <v>LH4199</v>
          </cell>
          <cell r="B2796" t="str">
            <v>D</v>
          </cell>
          <cell r="C2796">
            <v>104.63</v>
          </cell>
        </row>
        <row r="2797">
          <cell r="A2797" t="str">
            <v>LFH4200</v>
          </cell>
          <cell r="B2797" t="str">
            <v>D</v>
          </cell>
          <cell r="C2797">
            <v>28.91</v>
          </cell>
        </row>
        <row r="2798">
          <cell r="A2798" t="str">
            <v>LFH4201</v>
          </cell>
          <cell r="B2798" t="str">
            <v>D</v>
          </cell>
          <cell r="C2798">
            <v>12.6</v>
          </cell>
        </row>
        <row r="2799">
          <cell r="A2799" t="str">
            <v>LFH4203</v>
          </cell>
          <cell r="B2799" t="str">
            <v>D</v>
          </cell>
          <cell r="C2799">
            <v>18.37</v>
          </cell>
        </row>
        <row r="2800">
          <cell r="A2800" t="str">
            <v>LFH4204</v>
          </cell>
          <cell r="B2800" t="str">
            <v>A</v>
          </cell>
          <cell r="C2800">
            <v>14.31</v>
          </cell>
        </row>
        <row r="2801">
          <cell r="A2801" t="str">
            <v>LFH4204XL</v>
          </cell>
          <cell r="B2801" t="str">
            <v>N</v>
          </cell>
          <cell r="C2801">
            <v>44.3</v>
          </cell>
        </row>
        <row r="2802">
          <cell r="A2802" t="str">
            <v>LAF4205</v>
          </cell>
          <cell r="B2802" t="str">
            <v>D</v>
          </cell>
          <cell r="C2802">
            <v>54.51</v>
          </cell>
        </row>
        <row r="2803">
          <cell r="A2803" t="str">
            <v>LFH4206</v>
          </cell>
          <cell r="B2803" t="str">
            <v>D</v>
          </cell>
          <cell r="C2803">
            <v>12.73</v>
          </cell>
        </row>
        <row r="2804">
          <cell r="A2804" t="str">
            <v>LAF4207</v>
          </cell>
          <cell r="B2804" t="str">
            <v>D</v>
          </cell>
          <cell r="C2804">
            <v>42.19</v>
          </cell>
        </row>
        <row r="2805">
          <cell r="A2805" t="str">
            <v>LFH4207</v>
          </cell>
          <cell r="B2805" t="str">
            <v>D</v>
          </cell>
          <cell r="C2805">
            <v>9.7200000000000006</v>
          </cell>
        </row>
        <row r="2806">
          <cell r="A2806" t="str">
            <v>LFH4209</v>
          </cell>
          <cell r="B2806" t="str">
            <v>B</v>
          </cell>
          <cell r="C2806">
            <v>8.14</v>
          </cell>
        </row>
        <row r="2807">
          <cell r="A2807" t="str">
            <v>LFH4210</v>
          </cell>
          <cell r="B2807" t="str">
            <v>D</v>
          </cell>
          <cell r="C2807">
            <v>12</v>
          </cell>
        </row>
        <row r="2808">
          <cell r="A2808" t="str">
            <v>LFH4211</v>
          </cell>
          <cell r="B2808" t="str">
            <v>D</v>
          </cell>
          <cell r="C2808">
            <v>22.02</v>
          </cell>
        </row>
        <row r="2809">
          <cell r="A2809" t="str">
            <v>LFH4212</v>
          </cell>
          <cell r="B2809" t="str">
            <v>D</v>
          </cell>
          <cell r="C2809">
            <v>19.02</v>
          </cell>
        </row>
        <row r="2810">
          <cell r="A2810" t="str">
            <v>LFH4213</v>
          </cell>
          <cell r="B2810" t="str">
            <v>D</v>
          </cell>
          <cell r="C2810">
            <v>26.9</v>
          </cell>
        </row>
        <row r="2811">
          <cell r="A2811" t="str">
            <v>LAF4215</v>
          </cell>
          <cell r="B2811" t="str">
            <v>D</v>
          </cell>
          <cell r="C2811">
            <v>184.37</v>
          </cell>
        </row>
        <row r="2812">
          <cell r="A2812" t="str">
            <v>LAF4219</v>
          </cell>
          <cell r="B2812" t="str">
            <v>D</v>
          </cell>
          <cell r="C2812">
            <v>34.18</v>
          </cell>
        </row>
        <row r="2813">
          <cell r="A2813" t="str">
            <v>LAF4222</v>
          </cell>
          <cell r="B2813" t="str">
            <v>D</v>
          </cell>
          <cell r="C2813">
            <v>126.64</v>
          </cell>
        </row>
        <row r="2814">
          <cell r="A2814" t="str">
            <v>LFH4223</v>
          </cell>
          <cell r="B2814" t="str">
            <v>A</v>
          </cell>
          <cell r="C2814">
            <v>24.54</v>
          </cell>
        </row>
        <row r="2815">
          <cell r="A2815" t="str">
            <v>LFH4223XL</v>
          </cell>
          <cell r="B2815" t="str">
            <v>D</v>
          </cell>
          <cell r="C2815">
            <v>89.88</v>
          </cell>
        </row>
        <row r="2816">
          <cell r="A2816" t="str">
            <v>LFH4224</v>
          </cell>
          <cell r="B2816" t="str">
            <v>D</v>
          </cell>
          <cell r="C2816">
            <v>32.700000000000003</v>
          </cell>
        </row>
        <row r="2817">
          <cell r="A2817" t="str">
            <v>LH4225</v>
          </cell>
          <cell r="B2817" t="str">
            <v>D</v>
          </cell>
          <cell r="C2817">
            <v>113.68</v>
          </cell>
        </row>
        <row r="2818">
          <cell r="A2818" t="str">
            <v>LH4226</v>
          </cell>
          <cell r="B2818" t="str">
            <v>D</v>
          </cell>
          <cell r="C2818">
            <v>74.73</v>
          </cell>
        </row>
        <row r="2819">
          <cell r="A2819" t="str">
            <v>LH4227</v>
          </cell>
          <cell r="B2819" t="str">
            <v>D</v>
          </cell>
          <cell r="C2819">
            <v>63.53</v>
          </cell>
        </row>
        <row r="2820">
          <cell r="A2820" t="str">
            <v>LAF4228</v>
          </cell>
          <cell r="B2820" t="str">
            <v>D</v>
          </cell>
          <cell r="C2820">
            <v>81.72</v>
          </cell>
        </row>
        <row r="2821">
          <cell r="A2821" t="str">
            <v>LH4229</v>
          </cell>
          <cell r="B2821" t="str">
            <v>D</v>
          </cell>
          <cell r="C2821">
            <v>240.73</v>
          </cell>
        </row>
        <row r="2822">
          <cell r="A2822">
            <v>4230</v>
          </cell>
          <cell r="B2822" t="str">
            <v>D</v>
          </cell>
          <cell r="C2822">
            <v>1786.39</v>
          </cell>
        </row>
        <row r="2823">
          <cell r="A2823" t="str">
            <v>LH4230</v>
          </cell>
          <cell r="B2823" t="str">
            <v>D</v>
          </cell>
          <cell r="C2823">
            <v>108.77</v>
          </cell>
        </row>
        <row r="2824">
          <cell r="A2824" t="str">
            <v>LH4230V</v>
          </cell>
          <cell r="B2824" t="str">
            <v>N</v>
          </cell>
          <cell r="C2824">
            <v>129.28</v>
          </cell>
        </row>
        <row r="2825">
          <cell r="A2825">
            <v>4231</v>
          </cell>
          <cell r="B2825" t="str">
            <v>D</v>
          </cell>
          <cell r="C2825">
            <v>1342.64</v>
          </cell>
        </row>
        <row r="2826">
          <cell r="A2826" t="str">
            <v>LH4231</v>
          </cell>
          <cell r="B2826" t="str">
            <v>D</v>
          </cell>
          <cell r="C2826">
            <v>100.35</v>
          </cell>
        </row>
        <row r="2827">
          <cell r="A2827" t="str">
            <v>LH4232</v>
          </cell>
          <cell r="B2827" t="str">
            <v>D</v>
          </cell>
          <cell r="C2827">
            <v>120.15</v>
          </cell>
        </row>
        <row r="2828">
          <cell r="A2828" t="str">
            <v>LH4233</v>
          </cell>
          <cell r="B2828" t="str">
            <v>D</v>
          </cell>
          <cell r="C2828">
            <v>37.130000000000003</v>
          </cell>
        </row>
        <row r="2829">
          <cell r="A2829">
            <v>4234</v>
          </cell>
          <cell r="B2829" t="str">
            <v>D</v>
          </cell>
          <cell r="C2829">
            <v>756.93</v>
          </cell>
        </row>
        <row r="2830">
          <cell r="A2830" t="str">
            <v>LH4234</v>
          </cell>
          <cell r="B2830" t="str">
            <v>B</v>
          </cell>
          <cell r="C2830">
            <v>35.78</v>
          </cell>
        </row>
        <row r="2831">
          <cell r="A2831" t="str">
            <v>LH4235</v>
          </cell>
          <cell r="B2831" t="str">
            <v>D</v>
          </cell>
          <cell r="C2831">
            <v>35.93</v>
          </cell>
        </row>
        <row r="2832">
          <cell r="A2832" t="str">
            <v>LH4236</v>
          </cell>
          <cell r="B2832" t="str">
            <v>D</v>
          </cell>
          <cell r="C2832">
            <v>36.22</v>
          </cell>
        </row>
        <row r="2833">
          <cell r="A2833" t="str">
            <v>LH4237</v>
          </cell>
          <cell r="B2833" t="str">
            <v>D</v>
          </cell>
          <cell r="C2833">
            <v>44.3</v>
          </cell>
        </row>
        <row r="2834">
          <cell r="A2834" t="str">
            <v>LH4238</v>
          </cell>
          <cell r="B2834" t="str">
            <v>D</v>
          </cell>
          <cell r="C2834">
            <v>41.34</v>
          </cell>
        </row>
        <row r="2835">
          <cell r="A2835" t="str">
            <v>LH4239</v>
          </cell>
          <cell r="B2835" t="str">
            <v>D</v>
          </cell>
          <cell r="C2835">
            <v>145.91</v>
          </cell>
        </row>
        <row r="2836">
          <cell r="A2836" t="str">
            <v>LH4240</v>
          </cell>
          <cell r="B2836" t="str">
            <v>D</v>
          </cell>
          <cell r="C2836">
            <v>272.18</v>
          </cell>
        </row>
        <row r="2837">
          <cell r="A2837">
            <v>4241</v>
          </cell>
          <cell r="B2837" t="str">
            <v>D</v>
          </cell>
          <cell r="C2837">
            <v>194.77</v>
          </cell>
        </row>
        <row r="2838">
          <cell r="A2838" t="str">
            <v>LH4241</v>
          </cell>
          <cell r="B2838" t="str">
            <v>D</v>
          </cell>
          <cell r="C2838">
            <v>223.74</v>
          </cell>
        </row>
        <row r="2839">
          <cell r="A2839" t="str">
            <v>LH4242</v>
          </cell>
          <cell r="B2839" t="str">
            <v>D</v>
          </cell>
          <cell r="C2839">
            <v>463.89</v>
          </cell>
        </row>
        <row r="2840">
          <cell r="A2840" t="str">
            <v>LH4243</v>
          </cell>
          <cell r="B2840" t="str">
            <v>D</v>
          </cell>
          <cell r="C2840">
            <v>210.79</v>
          </cell>
        </row>
        <row r="2841">
          <cell r="A2841" t="str">
            <v>LH4244</v>
          </cell>
          <cell r="B2841" t="str">
            <v>D</v>
          </cell>
          <cell r="C2841">
            <v>295.77999999999997</v>
          </cell>
        </row>
        <row r="2842">
          <cell r="A2842" t="str">
            <v>LH4245</v>
          </cell>
          <cell r="B2842" t="str">
            <v>D</v>
          </cell>
          <cell r="C2842">
            <v>279.01</v>
          </cell>
        </row>
        <row r="2843">
          <cell r="A2843" t="str">
            <v>LAF4246</v>
          </cell>
          <cell r="B2843" t="str">
            <v>D</v>
          </cell>
          <cell r="C2843">
            <v>32.590000000000003</v>
          </cell>
        </row>
        <row r="2844">
          <cell r="A2844" t="str">
            <v>LH4246</v>
          </cell>
          <cell r="B2844" t="str">
            <v>D</v>
          </cell>
          <cell r="C2844">
            <v>64.77</v>
          </cell>
        </row>
        <row r="2845">
          <cell r="A2845" t="str">
            <v>LH4247</v>
          </cell>
          <cell r="B2845" t="str">
            <v>D</v>
          </cell>
          <cell r="C2845">
            <v>41.4</v>
          </cell>
        </row>
        <row r="2846">
          <cell r="A2846" t="str">
            <v>LH4248</v>
          </cell>
          <cell r="B2846" t="str">
            <v>D</v>
          </cell>
          <cell r="C2846">
            <v>45.95</v>
          </cell>
        </row>
        <row r="2847">
          <cell r="A2847" t="str">
            <v>LH4248V</v>
          </cell>
          <cell r="B2847" t="str">
            <v>N</v>
          </cell>
          <cell r="C2847">
            <v>80.099999999999994</v>
          </cell>
        </row>
        <row r="2848">
          <cell r="A2848" t="str">
            <v>LH4249</v>
          </cell>
          <cell r="B2848" t="str">
            <v>D</v>
          </cell>
          <cell r="C2848">
            <v>49.94</v>
          </cell>
        </row>
        <row r="2849">
          <cell r="A2849" t="str">
            <v>LH4250</v>
          </cell>
          <cell r="B2849" t="str">
            <v>D</v>
          </cell>
          <cell r="C2849">
            <v>48.07</v>
          </cell>
        </row>
        <row r="2850">
          <cell r="A2850" t="str">
            <v>LH4251</v>
          </cell>
          <cell r="B2850" t="str">
            <v>D</v>
          </cell>
          <cell r="C2850">
            <v>44.27</v>
          </cell>
        </row>
        <row r="2851">
          <cell r="A2851" t="str">
            <v>LH4252</v>
          </cell>
          <cell r="B2851" t="str">
            <v>D</v>
          </cell>
          <cell r="C2851">
            <v>40.200000000000003</v>
          </cell>
        </row>
        <row r="2852">
          <cell r="A2852" t="str">
            <v>LH4253</v>
          </cell>
          <cell r="B2852" t="str">
            <v>D</v>
          </cell>
          <cell r="C2852">
            <v>60.04</v>
          </cell>
        </row>
        <row r="2853">
          <cell r="A2853" t="str">
            <v>LH4254</v>
          </cell>
          <cell r="B2853" t="str">
            <v>D</v>
          </cell>
          <cell r="C2853">
            <v>59.66</v>
          </cell>
        </row>
        <row r="2854">
          <cell r="A2854" t="str">
            <v>LH4255</v>
          </cell>
          <cell r="B2854" t="str">
            <v>D</v>
          </cell>
          <cell r="C2854">
            <v>52.16</v>
          </cell>
        </row>
        <row r="2855">
          <cell r="A2855" t="str">
            <v>LH4256</v>
          </cell>
          <cell r="B2855" t="str">
            <v>D</v>
          </cell>
          <cell r="C2855">
            <v>54.51</v>
          </cell>
        </row>
        <row r="2856">
          <cell r="A2856" t="str">
            <v>LH4257</v>
          </cell>
          <cell r="B2856" t="str">
            <v>D</v>
          </cell>
          <cell r="C2856">
            <v>271.77</v>
          </cell>
        </row>
        <row r="2857">
          <cell r="A2857" t="str">
            <v>LH4258</v>
          </cell>
          <cell r="B2857" t="str">
            <v>D</v>
          </cell>
          <cell r="C2857">
            <v>252.56</v>
          </cell>
        </row>
        <row r="2858">
          <cell r="A2858" t="str">
            <v>LH4259</v>
          </cell>
          <cell r="B2858" t="str">
            <v>D</v>
          </cell>
          <cell r="C2858">
            <v>574.63</v>
          </cell>
        </row>
        <row r="2859">
          <cell r="A2859" t="str">
            <v>LH4260</v>
          </cell>
          <cell r="B2859" t="str">
            <v>D</v>
          </cell>
          <cell r="C2859">
            <v>117.96</v>
          </cell>
        </row>
        <row r="2860">
          <cell r="A2860" t="str">
            <v>LH4261</v>
          </cell>
          <cell r="B2860" t="str">
            <v>D</v>
          </cell>
          <cell r="C2860">
            <v>92.15</v>
          </cell>
        </row>
        <row r="2861">
          <cell r="A2861" t="str">
            <v>LH4262</v>
          </cell>
          <cell r="B2861" t="str">
            <v>D</v>
          </cell>
          <cell r="C2861">
            <v>135.68</v>
          </cell>
        </row>
        <row r="2862">
          <cell r="A2862" t="str">
            <v>LH4263</v>
          </cell>
          <cell r="B2862" t="str">
            <v>D</v>
          </cell>
          <cell r="C2862">
            <v>136.68</v>
          </cell>
        </row>
        <row r="2863">
          <cell r="A2863" t="str">
            <v>LH4264</v>
          </cell>
          <cell r="B2863" t="str">
            <v>D</v>
          </cell>
          <cell r="C2863">
            <v>11.5</v>
          </cell>
        </row>
        <row r="2864">
          <cell r="A2864" t="str">
            <v>LH4265</v>
          </cell>
          <cell r="B2864" t="str">
            <v>D</v>
          </cell>
          <cell r="C2864">
            <v>39.01</v>
          </cell>
        </row>
        <row r="2865">
          <cell r="A2865" t="str">
            <v>LH4266</v>
          </cell>
          <cell r="B2865" t="str">
            <v>D</v>
          </cell>
          <cell r="C2865">
            <v>88.75</v>
          </cell>
        </row>
        <row r="2866">
          <cell r="A2866" t="str">
            <v>LH4267</v>
          </cell>
          <cell r="B2866" t="str">
            <v>D</v>
          </cell>
          <cell r="C2866">
            <v>75.66</v>
          </cell>
        </row>
        <row r="2867">
          <cell r="A2867" t="str">
            <v>LFH4268</v>
          </cell>
          <cell r="B2867" t="str">
            <v>A</v>
          </cell>
          <cell r="C2867">
            <v>30.76</v>
          </cell>
        </row>
        <row r="2868">
          <cell r="A2868">
            <v>4269</v>
          </cell>
          <cell r="B2868" t="str">
            <v>D</v>
          </cell>
          <cell r="C2868">
            <v>8.3699999999999992</v>
          </cell>
        </row>
        <row r="2869">
          <cell r="A2869" t="str">
            <v>LH4269</v>
          </cell>
          <cell r="B2869" t="str">
            <v>D</v>
          </cell>
          <cell r="C2869">
            <v>30.77</v>
          </cell>
        </row>
        <row r="2870">
          <cell r="A2870" t="str">
            <v>LH4270</v>
          </cell>
          <cell r="B2870" t="str">
            <v>D</v>
          </cell>
          <cell r="C2870">
            <v>24.19</v>
          </cell>
        </row>
        <row r="2871">
          <cell r="A2871" t="str">
            <v>LAF4271</v>
          </cell>
          <cell r="B2871" t="str">
            <v>D</v>
          </cell>
          <cell r="C2871">
            <v>287.3</v>
          </cell>
        </row>
        <row r="2872">
          <cell r="A2872" t="str">
            <v>LAF4272</v>
          </cell>
          <cell r="B2872" t="str">
            <v>D</v>
          </cell>
          <cell r="C2872">
            <v>69.790000000000006</v>
          </cell>
        </row>
        <row r="2873">
          <cell r="A2873" t="str">
            <v>LAF4273</v>
          </cell>
          <cell r="B2873" t="str">
            <v>B</v>
          </cell>
          <cell r="C2873">
            <v>57.04</v>
          </cell>
        </row>
        <row r="2874">
          <cell r="A2874" t="str">
            <v>LAF4273MXM</v>
          </cell>
          <cell r="B2874" t="str">
            <v>N</v>
          </cell>
          <cell r="C2874">
            <v>81.540000000000006</v>
          </cell>
        </row>
        <row r="2875">
          <cell r="A2875" t="str">
            <v>LAF4274</v>
          </cell>
          <cell r="B2875" t="str">
            <v>B</v>
          </cell>
          <cell r="C2875">
            <v>43.66</v>
          </cell>
        </row>
        <row r="2876">
          <cell r="A2876" t="str">
            <v>LAF4276</v>
          </cell>
          <cell r="B2876" t="str">
            <v>D</v>
          </cell>
          <cell r="C2876">
            <v>149.16999999999999</v>
          </cell>
        </row>
        <row r="2877">
          <cell r="A2877">
            <v>4277</v>
          </cell>
          <cell r="B2877" t="str">
            <v>D</v>
          </cell>
          <cell r="C2877">
            <v>14.64</v>
          </cell>
        </row>
        <row r="2878">
          <cell r="A2878" t="str">
            <v>LAF4278</v>
          </cell>
          <cell r="B2878" t="str">
            <v>D</v>
          </cell>
          <cell r="C2878">
            <v>59.01</v>
          </cell>
        </row>
        <row r="2879">
          <cell r="A2879" t="str">
            <v>LAF4279</v>
          </cell>
          <cell r="B2879" t="str">
            <v>D</v>
          </cell>
          <cell r="C2879">
            <v>77.08</v>
          </cell>
        </row>
        <row r="2880">
          <cell r="A2880" t="str">
            <v>LAF4280</v>
          </cell>
          <cell r="B2880" t="str">
            <v>D</v>
          </cell>
          <cell r="C2880">
            <v>127.4</v>
          </cell>
        </row>
        <row r="2881">
          <cell r="A2881" t="str">
            <v>LAF4281</v>
          </cell>
          <cell r="B2881" t="str">
            <v>D</v>
          </cell>
          <cell r="C2881">
            <v>150.32</v>
          </cell>
        </row>
        <row r="2882">
          <cell r="A2882" t="str">
            <v>LAF4282</v>
          </cell>
          <cell r="B2882" t="str">
            <v>D</v>
          </cell>
          <cell r="C2882">
            <v>60.5</v>
          </cell>
        </row>
        <row r="2883">
          <cell r="A2883">
            <v>4284</v>
          </cell>
          <cell r="B2883" t="str">
            <v>D</v>
          </cell>
          <cell r="C2883">
            <v>29.25</v>
          </cell>
        </row>
        <row r="2884">
          <cell r="A2884" t="str">
            <v>LAF4284</v>
          </cell>
          <cell r="B2884" t="str">
            <v>D</v>
          </cell>
          <cell r="C2884">
            <v>199.28</v>
          </cell>
        </row>
        <row r="2885">
          <cell r="A2885" t="str">
            <v>LAF4285</v>
          </cell>
          <cell r="B2885" t="str">
            <v>D</v>
          </cell>
          <cell r="C2885">
            <v>140.69999999999999</v>
          </cell>
        </row>
        <row r="2886">
          <cell r="A2886" t="str">
            <v>LAF4287</v>
          </cell>
          <cell r="B2886" t="str">
            <v>D</v>
          </cell>
          <cell r="C2886">
            <v>176.47</v>
          </cell>
        </row>
        <row r="2887">
          <cell r="A2887" t="str">
            <v>LAF4289</v>
          </cell>
          <cell r="B2887" t="str">
            <v>D</v>
          </cell>
          <cell r="C2887">
            <v>191.83</v>
          </cell>
        </row>
        <row r="2888">
          <cell r="A2888" t="str">
            <v>LFF4293</v>
          </cell>
          <cell r="B2888" t="str">
            <v>C</v>
          </cell>
          <cell r="C2888">
            <v>13.46</v>
          </cell>
        </row>
        <row r="2889">
          <cell r="A2889" t="str">
            <v>LFF4294</v>
          </cell>
          <cell r="B2889" t="str">
            <v>D</v>
          </cell>
          <cell r="C2889">
            <v>10.06</v>
          </cell>
        </row>
        <row r="2890">
          <cell r="A2890" t="str">
            <v>LFF4295</v>
          </cell>
          <cell r="B2890" t="str">
            <v>B</v>
          </cell>
          <cell r="C2890">
            <v>7.33</v>
          </cell>
        </row>
        <row r="2891">
          <cell r="A2891">
            <v>4296</v>
          </cell>
          <cell r="B2891" t="str">
            <v>D</v>
          </cell>
          <cell r="C2891">
            <v>927.61</v>
          </cell>
        </row>
        <row r="2892">
          <cell r="A2892" t="str">
            <v>LFF4296</v>
          </cell>
          <cell r="B2892" t="str">
            <v>B</v>
          </cell>
          <cell r="C2892">
            <v>9.77</v>
          </cell>
        </row>
        <row r="2893">
          <cell r="A2893" t="str">
            <v>LAF4297</v>
          </cell>
          <cell r="B2893" t="str">
            <v>D</v>
          </cell>
          <cell r="C2893">
            <v>223.69</v>
          </cell>
        </row>
        <row r="2894">
          <cell r="A2894" t="str">
            <v>LAF4298</v>
          </cell>
          <cell r="B2894" t="str">
            <v>D</v>
          </cell>
          <cell r="C2894">
            <v>142.19</v>
          </cell>
        </row>
        <row r="2895">
          <cell r="A2895">
            <v>4300</v>
          </cell>
          <cell r="B2895" t="str">
            <v>D</v>
          </cell>
          <cell r="C2895">
            <v>137.81</v>
          </cell>
        </row>
        <row r="2896">
          <cell r="A2896" t="str">
            <v>LAF4300</v>
          </cell>
          <cell r="B2896" t="str">
            <v>D</v>
          </cell>
          <cell r="C2896">
            <v>132.44</v>
          </cell>
        </row>
        <row r="2897">
          <cell r="A2897">
            <v>4301</v>
          </cell>
          <cell r="B2897" t="str">
            <v>D</v>
          </cell>
          <cell r="C2897">
            <v>815.77</v>
          </cell>
        </row>
        <row r="2898">
          <cell r="A2898" t="str">
            <v>LAF4301</v>
          </cell>
          <cell r="B2898" t="str">
            <v>D</v>
          </cell>
          <cell r="C2898">
            <v>218.96</v>
          </cell>
        </row>
        <row r="2899">
          <cell r="A2899">
            <v>4302</v>
          </cell>
          <cell r="B2899" t="str">
            <v>D</v>
          </cell>
          <cell r="C2899">
            <v>900.49</v>
          </cell>
        </row>
        <row r="2900">
          <cell r="A2900" t="str">
            <v>LAF4306</v>
          </cell>
          <cell r="B2900" t="str">
            <v>D</v>
          </cell>
          <cell r="C2900">
            <v>94.79</v>
          </cell>
        </row>
        <row r="2901">
          <cell r="A2901" t="str">
            <v>LAF4307</v>
          </cell>
          <cell r="B2901" t="str">
            <v>D</v>
          </cell>
          <cell r="C2901">
            <v>59.89</v>
          </cell>
        </row>
        <row r="2902">
          <cell r="A2902" t="str">
            <v>LAF4310</v>
          </cell>
          <cell r="B2902" t="str">
            <v>D</v>
          </cell>
          <cell r="C2902">
            <v>83.62</v>
          </cell>
        </row>
        <row r="2903">
          <cell r="A2903">
            <v>4311</v>
          </cell>
          <cell r="B2903" t="str">
            <v>B</v>
          </cell>
          <cell r="C2903">
            <v>13.32</v>
          </cell>
        </row>
        <row r="2904">
          <cell r="A2904" t="str">
            <v>LAF4311</v>
          </cell>
          <cell r="B2904" t="str">
            <v>D</v>
          </cell>
          <cell r="C2904">
            <v>102.75</v>
          </cell>
        </row>
        <row r="2905">
          <cell r="A2905" t="str">
            <v>LAF4312</v>
          </cell>
          <cell r="B2905" t="str">
            <v>D</v>
          </cell>
          <cell r="C2905">
            <v>220.68</v>
          </cell>
        </row>
        <row r="2906">
          <cell r="A2906" t="str">
            <v>LAF4313</v>
          </cell>
          <cell r="B2906" t="str">
            <v>D</v>
          </cell>
          <cell r="C2906">
            <v>63.67</v>
          </cell>
        </row>
        <row r="2907">
          <cell r="A2907" t="str">
            <v>LAF4314</v>
          </cell>
          <cell r="B2907" t="str">
            <v>D</v>
          </cell>
          <cell r="C2907">
            <v>202.57</v>
          </cell>
        </row>
        <row r="2908">
          <cell r="A2908" t="str">
            <v>LAF4317</v>
          </cell>
          <cell r="B2908" t="str">
            <v>D</v>
          </cell>
          <cell r="C2908">
            <v>146.76</v>
          </cell>
        </row>
        <row r="2909">
          <cell r="A2909" t="str">
            <v>LAF4318</v>
          </cell>
          <cell r="B2909" t="str">
            <v>D</v>
          </cell>
          <cell r="C2909">
            <v>87.13</v>
          </cell>
        </row>
        <row r="2910">
          <cell r="A2910" t="str">
            <v>LAF4319</v>
          </cell>
          <cell r="B2910" t="str">
            <v>D</v>
          </cell>
          <cell r="C2910">
            <v>56.39</v>
          </cell>
        </row>
        <row r="2911">
          <cell r="A2911" t="str">
            <v>LAF4323</v>
          </cell>
          <cell r="B2911" t="str">
            <v>D</v>
          </cell>
          <cell r="C2911">
            <v>154.02000000000001</v>
          </cell>
        </row>
        <row r="2912">
          <cell r="A2912">
            <v>4324</v>
          </cell>
          <cell r="B2912" t="str">
            <v>D</v>
          </cell>
          <cell r="C2912">
            <v>511.8</v>
          </cell>
        </row>
        <row r="2913">
          <cell r="A2913" t="str">
            <v>LAF4324</v>
          </cell>
          <cell r="B2913" t="str">
            <v>D</v>
          </cell>
          <cell r="C2913">
            <v>130.47999999999999</v>
          </cell>
        </row>
        <row r="2914">
          <cell r="A2914" t="str">
            <v>LAF4327</v>
          </cell>
          <cell r="B2914" t="str">
            <v>D</v>
          </cell>
          <cell r="C2914">
            <v>179.26</v>
          </cell>
        </row>
        <row r="2915">
          <cell r="A2915" t="str">
            <v>LAF4329</v>
          </cell>
          <cell r="B2915" t="str">
            <v>D</v>
          </cell>
          <cell r="C2915">
            <v>82.75</v>
          </cell>
        </row>
        <row r="2916">
          <cell r="A2916">
            <v>4330</v>
          </cell>
          <cell r="B2916" t="str">
            <v>D</v>
          </cell>
          <cell r="C2916">
            <v>14.24</v>
          </cell>
        </row>
        <row r="2917">
          <cell r="A2917" t="str">
            <v>LAF4331</v>
          </cell>
          <cell r="B2917" t="str">
            <v>D</v>
          </cell>
          <cell r="C2917">
            <v>117.86</v>
          </cell>
        </row>
        <row r="2918">
          <cell r="A2918" t="str">
            <v>LAF4334</v>
          </cell>
          <cell r="B2918" t="str">
            <v>D</v>
          </cell>
          <cell r="C2918">
            <v>64.16</v>
          </cell>
        </row>
        <row r="2919">
          <cell r="A2919" t="str">
            <v>LAF4335</v>
          </cell>
          <cell r="B2919" t="str">
            <v>D</v>
          </cell>
          <cell r="C2919">
            <v>46.9</v>
          </cell>
        </row>
        <row r="2920">
          <cell r="A2920" t="str">
            <v>LAF4339</v>
          </cell>
          <cell r="B2920" t="str">
            <v>D</v>
          </cell>
          <cell r="C2920">
            <v>64.5</v>
          </cell>
        </row>
        <row r="2921">
          <cell r="A2921" t="str">
            <v>LAF4340</v>
          </cell>
          <cell r="B2921" t="str">
            <v>N</v>
          </cell>
          <cell r="C2921">
            <v>40.03</v>
          </cell>
        </row>
        <row r="2922">
          <cell r="A2922" t="str">
            <v>LAF4341</v>
          </cell>
          <cell r="B2922" t="str">
            <v>D</v>
          </cell>
          <cell r="C2922">
            <v>226.29</v>
          </cell>
        </row>
        <row r="2923">
          <cell r="A2923" t="str">
            <v>LAF4342</v>
          </cell>
          <cell r="B2923" t="str">
            <v>D</v>
          </cell>
          <cell r="C2923">
            <v>31.59</v>
          </cell>
        </row>
        <row r="2924">
          <cell r="A2924">
            <v>4343</v>
          </cell>
          <cell r="B2924" t="str">
            <v>D</v>
          </cell>
          <cell r="C2924">
            <v>538.05999999999995</v>
          </cell>
        </row>
        <row r="2925">
          <cell r="A2925" t="str">
            <v>LAF4343</v>
          </cell>
          <cell r="B2925" t="str">
            <v>D</v>
          </cell>
          <cell r="C2925">
            <v>9.3800000000000008</v>
          </cell>
        </row>
        <row r="2926">
          <cell r="A2926">
            <v>4345</v>
          </cell>
          <cell r="B2926" t="str">
            <v>D</v>
          </cell>
          <cell r="C2926">
            <v>582.75</v>
          </cell>
        </row>
        <row r="2927">
          <cell r="A2927" t="str">
            <v>LAF4346</v>
          </cell>
          <cell r="B2927" t="str">
            <v>D</v>
          </cell>
          <cell r="C2927">
            <v>51.18</v>
          </cell>
        </row>
        <row r="2928">
          <cell r="A2928" t="str">
            <v>LAF4347</v>
          </cell>
          <cell r="B2928" t="str">
            <v>D</v>
          </cell>
          <cell r="C2928">
            <v>246.7</v>
          </cell>
        </row>
        <row r="2929">
          <cell r="A2929" t="str">
            <v>LAF4348</v>
          </cell>
          <cell r="B2929" t="str">
            <v>N</v>
          </cell>
          <cell r="C2929">
            <v>33.700000000000003</v>
          </cell>
        </row>
        <row r="2930">
          <cell r="A2930" t="str">
            <v>LAF4350</v>
          </cell>
          <cell r="B2930" t="str">
            <v>D</v>
          </cell>
          <cell r="C2930">
            <v>81.96</v>
          </cell>
        </row>
        <row r="2931">
          <cell r="A2931" t="str">
            <v>LAF4351</v>
          </cell>
          <cell r="B2931" t="str">
            <v>D</v>
          </cell>
          <cell r="C2931">
            <v>120.57</v>
          </cell>
        </row>
        <row r="2932">
          <cell r="A2932" t="str">
            <v>LAF4353</v>
          </cell>
          <cell r="B2932" t="str">
            <v>D</v>
          </cell>
          <cell r="C2932">
            <v>90.07</v>
          </cell>
        </row>
        <row r="2933">
          <cell r="A2933" t="str">
            <v>LAF4356</v>
          </cell>
          <cell r="B2933" t="str">
            <v>D</v>
          </cell>
          <cell r="C2933">
            <v>42.57</v>
          </cell>
        </row>
        <row r="2934">
          <cell r="A2934" t="str">
            <v>LAF4357</v>
          </cell>
          <cell r="B2934" t="str">
            <v>D</v>
          </cell>
          <cell r="C2934">
            <v>33.049999999999997</v>
          </cell>
        </row>
        <row r="2935">
          <cell r="A2935" t="str">
            <v>LAF4360</v>
          </cell>
          <cell r="B2935" t="str">
            <v>D</v>
          </cell>
          <cell r="C2935">
            <v>201.43</v>
          </cell>
        </row>
        <row r="2936">
          <cell r="A2936" t="str">
            <v>LAF4361</v>
          </cell>
          <cell r="B2936" t="str">
            <v>D</v>
          </cell>
          <cell r="C2936">
            <v>53.89</v>
          </cell>
        </row>
        <row r="2937">
          <cell r="A2937" t="str">
            <v>LAF4364</v>
          </cell>
          <cell r="B2937" t="str">
            <v>N</v>
          </cell>
          <cell r="C2937">
            <v>7.84</v>
          </cell>
        </row>
        <row r="2938">
          <cell r="A2938" t="str">
            <v>LAF4365</v>
          </cell>
          <cell r="B2938" t="str">
            <v>D</v>
          </cell>
          <cell r="C2938">
            <v>72.28</v>
          </cell>
        </row>
        <row r="2939">
          <cell r="A2939" t="str">
            <v>LAF4366</v>
          </cell>
          <cell r="B2939" t="str">
            <v>D</v>
          </cell>
          <cell r="C2939">
            <v>103.13</v>
          </cell>
        </row>
        <row r="2940">
          <cell r="A2940" t="str">
            <v>AF4368</v>
          </cell>
          <cell r="B2940" t="str">
            <v>D</v>
          </cell>
          <cell r="C2940">
            <v>29.11</v>
          </cell>
        </row>
        <row r="2941">
          <cell r="A2941" t="str">
            <v>LH4369</v>
          </cell>
          <cell r="B2941" t="str">
            <v>D</v>
          </cell>
          <cell r="C2941">
            <v>81.88</v>
          </cell>
        </row>
        <row r="2942">
          <cell r="A2942" t="str">
            <v>LH4371</v>
          </cell>
          <cell r="B2942" t="str">
            <v>D</v>
          </cell>
          <cell r="C2942">
            <v>77.94</v>
          </cell>
        </row>
        <row r="2943">
          <cell r="A2943" t="str">
            <v>LFH4372</v>
          </cell>
          <cell r="B2943" t="str">
            <v>D</v>
          </cell>
          <cell r="C2943">
            <v>23.66</v>
          </cell>
        </row>
        <row r="2944">
          <cell r="A2944" t="str">
            <v>LP4373</v>
          </cell>
          <cell r="B2944" t="str">
            <v>D</v>
          </cell>
          <cell r="C2944">
            <v>49.85</v>
          </cell>
        </row>
        <row r="2945">
          <cell r="A2945" t="str">
            <v>LP4378</v>
          </cell>
          <cell r="B2945" t="str">
            <v>D</v>
          </cell>
          <cell r="C2945">
            <v>94.88</v>
          </cell>
        </row>
        <row r="2946">
          <cell r="A2946" t="str">
            <v>LP4379</v>
          </cell>
          <cell r="B2946" t="str">
            <v>D</v>
          </cell>
          <cell r="C2946">
            <v>25.6</v>
          </cell>
        </row>
        <row r="2947">
          <cell r="A2947" t="str">
            <v>LH4385-25</v>
          </cell>
          <cell r="B2947" t="str">
            <v>N</v>
          </cell>
          <cell r="C2947">
            <v>19.059999999999999</v>
          </cell>
        </row>
        <row r="2948">
          <cell r="A2948" t="str">
            <v>LFH4386</v>
          </cell>
          <cell r="B2948" t="str">
            <v>D</v>
          </cell>
          <cell r="C2948">
            <v>33.85</v>
          </cell>
        </row>
        <row r="2949">
          <cell r="A2949" t="str">
            <v>LH4387</v>
          </cell>
          <cell r="B2949" t="str">
            <v>D</v>
          </cell>
          <cell r="C2949">
            <v>29.09</v>
          </cell>
        </row>
        <row r="2950">
          <cell r="A2950" t="str">
            <v>LFH4388</v>
          </cell>
          <cell r="B2950" t="str">
            <v>D</v>
          </cell>
          <cell r="C2950">
            <v>18.13</v>
          </cell>
        </row>
        <row r="2951">
          <cell r="A2951" t="str">
            <v>LP4389</v>
          </cell>
          <cell r="B2951" t="str">
            <v>D</v>
          </cell>
          <cell r="C2951">
            <v>13.06</v>
          </cell>
        </row>
        <row r="2952">
          <cell r="A2952" t="str">
            <v>LH4391</v>
          </cell>
          <cell r="B2952" t="str">
            <v>D</v>
          </cell>
          <cell r="C2952">
            <v>62.49</v>
          </cell>
        </row>
        <row r="2953">
          <cell r="A2953" t="str">
            <v>LFH4392</v>
          </cell>
          <cell r="B2953" t="str">
            <v>D</v>
          </cell>
          <cell r="C2953">
            <v>17.46</v>
          </cell>
        </row>
        <row r="2954">
          <cell r="A2954" t="str">
            <v>LH4394</v>
          </cell>
          <cell r="B2954" t="str">
            <v>D</v>
          </cell>
          <cell r="C2954">
            <v>57.02</v>
          </cell>
        </row>
        <row r="2955">
          <cell r="A2955" t="str">
            <v>LH4396</v>
          </cell>
          <cell r="B2955" t="str">
            <v>D</v>
          </cell>
          <cell r="C2955">
            <v>78.98</v>
          </cell>
        </row>
        <row r="2956">
          <cell r="A2956" t="str">
            <v>LH4398</v>
          </cell>
          <cell r="B2956" t="str">
            <v>D</v>
          </cell>
          <cell r="C2956">
            <v>83.76</v>
          </cell>
        </row>
        <row r="2957">
          <cell r="A2957" t="str">
            <v>PH4403</v>
          </cell>
          <cell r="B2957" t="str">
            <v>B</v>
          </cell>
          <cell r="C2957">
            <v>11.64</v>
          </cell>
        </row>
        <row r="2958">
          <cell r="A2958" t="str">
            <v>LFH4404</v>
          </cell>
          <cell r="B2958" t="str">
            <v>D</v>
          </cell>
          <cell r="C2958">
            <v>204.75</v>
          </cell>
        </row>
        <row r="2959">
          <cell r="A2959" t="str">
            <v>LH4406</v>
          </cell>
          <cell r="B2959" t="str">
            <v>D</v>
          </cell>
          <cell r="C2959">
            <v>58.36</v>
          </cell>
        </row>
        <row r="2960">
          <cell r="A2960" t="str">
            <v>LFH4407</v>
          </cell>
          <cell r="B2960" t="str">
            <v>D</v>
          </cell>
          <cell r="C2960">
            <v>71</v>
          </cell>
        </row>
        <row r="2961">
          <cell r="A2961" t="str">
            <v>PH4408</v>
          </cell>
          <cell r="B2961" t="str">
            <v>C</v>
          </cell>
          <cell r="C2961">
            <v>12.78</v>
          </cell>
        </row>
        <row r="2962">
          <cell r="A2962" t="str">
            <v>LP4413</v>
          </cell>
          <cell r="B2962" t="str">
            <v>D</v>
          </cell>
          <cell r="C2962">
            <v>60.47</v>
          </cell>
        </row>
        <row r="2963">
          <cell r="A2963" t="str">
            <v>LP4414</v>
          </cell>
          <cell r="B2963" t="str">
            <v>D</v>
          </cell>
          <cell r="C2963">
            <v>26.59</v>
          </cell>
        </row>
        <row r="2964">
          <cell r="A2964" t="str">
            <v>LP4416</v>
          </cell>
          <cell r="B2964" t="str">
            <v>D</v>
          </cell>
          <cell r="C2964">
            <v>135.49</v>
          </cell>
        </row>
        <row r="2965">
          <cell r="A2965" t="str">
            <v>LH4417</v>
          </cell>
          <cell r="B2965" t="str">
            <v>D</v>
          </cell>
          <cell r="C2965">
            <v>44.85</v>
          </cell>
        </row>
        <row r="2966">
          <cell r="A2966" t="str">
            <v>LH4418</v>
          </cell>
          <cell r="B2966" t="str">
            <v>D</v>
          </cell>
          <cell r="C2966">
            <v>32</v>
          </cell>
        </row>
        <row r="2967">
          <cell r="A2967" t="str">
            <v>LP4420</v>
          </cell>
          <cell r="B2967" t="str">
            <v>D</v>
          </cell>
          <cell r="C2967">
            <v>141.55000000000001</v>
          </cell>
        </row>
        <row r="2968">
          <cell r="A2968" t="str">
            <v>LP4421</v>
          </cell>
          <cell r="B2968" t="str">
            <v>D</v>
          </cell>
          <cell r="C2968">
            <v>167.4</v>
          </cell>
        </row>
        <row r="2969">
          <cell r="A2969" t="str">
            <v>LFW4422</v>
          </cell>
          <cell r="B2969" t="str">
            <v>D</v>
          </cell>
          <cell r="C2969">
            <v>21.35</v>
          </cell>
        </row>
        <row r="2970">
          <cell r="A2970" t="str">
            <v>LFH4425</v>
          </cell>
          <cell r="B2970" t="str">
            <v>D</v>
          </cell>
          <cell r="C2970">
            <v>131.83000000000001</v>
          </cell>
        </row>
        <row r="2971">
          <cell r="A2971" t="str">
            <v>LFH4427</v>
          </cell>
          <cell r="B2971" t="str">
            <v>D</v>
          </cell>
          <cell r="C2971">
            <v>23.4</v>
          </cell>
        </row>
        <row r="2972">
          <cell r="A2972" t="str">
            <v>LFH4428</v>
          </cell>
          <cell r="B2972" t="str">
            <v>D</v>
          </cell>
          <cell r="C2972">
            <v>82.95</v>
          </cell>
        </row>
        <row r="2973">
          <cell r="A2973" t="str">
            <v>LP4429</v>
          </cell>
          <cell r="B2973" t="str">
            <v>D</v>
          </cell>
          <cell r="C2973">
            <v>89.64</v>
          </cell>
        </row>
        <row r="2974">
          <cell r="A2974" t="str">
            <v>LH4430</v>
          </cell>
          <cell r="B2974" t="str">
            <v>D</v>
          </cell>
          <cell r="C2974">
            <v>82.05</v>
          </cell>
        </row>
        <row r="2975">
          <cell r="A2975" t="str">
            <v>LFH4431</v>
          </cell>
          <cell r="B2975" t="str">
            <v>D</v>
          </cell>
          <cell r="C2975">
            <v>202.12</v>
          </cell>
        </row>
        <row r="2976">
          <cell r="A2976" t="str">
            <v>LFH4432</v>
          </cell>
          <cell r="B2976" t="str">
            <v>D</v>
          </cell>
          <cell r="C2976">
            <v>136.94999999999999</v>
          </cell>
        </row>
        <row r="2977">
          <cell r="A2977" t="str">
            <v>LP4433</v>
          </cell>
          <cell r="B2977" t="str">
            <v>D</v>
          </cell>
          <cell r="C2977">
            <v>149.47999999999999</v>
          </cell>
        </row>
        <row r="2978">
          <cell r="A2978" t="str">
            <v>LH4434</v>
          </cell>
          <cell r="B2978" t="str">
            <v>D</v>
          </cell>
          <cell r="C2978">
            <v>31.06</v>
          </cell>
        </row>
        <row r="2979">
          <cell r="A2979" t="str">
            <v>LH4435</v>
          </cell>
          <cell r="B2979" t="str">
            <v>D</v>
          </cell>
          <cell r="C2979">
            <v>123.66</v>
          </cell>
        </row>
        <row r="2980">
          <cell r="A2980" t="str">
            <v>LFH4439</v>
          </cell>
          <cell r="B2980" t="str">
            <v>D</v>
          </cell>
          <cell r="C2980">
            <v>186.84</v>
          </cell>
        </row>
        <row r="2981">
          <cell r="A2981" t="str">
            <v>LP4441</v>
          </cell>
          <cell r="B2981" t="str">
            <v>D</v>
          </cell>
          <cell r="C2981">
            <v>45.72</v>
          </cell>
        </row>
        <row r="2982">
          <cell r="A2982" t="str">
            <v>LH4442</v>
          </cell>
          <cell r="B2982" t="str">
            <v>D</v>
          </cell>
          <cell r="C2982">
            <v>26.86</v>
          </cell>
        </row>
        <row r="2983">
          <cell r="A2983" t="str">
            <v>LH4444</v>
          </cell>
          <cell r="B2983" t="str">
            <v>D</v>
          </cell>
          <cell r="C2983">
            <v>53.03</v>
          </cell>
        </row>
        <row r="2984">
          <cell r="A2984" t="str">
            <v>LAF4445</v>
          </cell>
          <cell r="B2984" t="str">
            <v>D</v>
          </cell>
          <cell r="C2984">
            <v>67.95</v>
          </cell>
        </row>
        <row r="2985">
          <cell r="A2985" t="str">
            <v>LFH4447</v>
          </cell>
          <cell r="B2985" t="str">
            <v>D</v>
          </cell>
          <cell r="C2985">
            <v>95.78</v>
          </cell>
        </row>
        <row r="2986">
          <cell r="A2986" t="str">
            <v>LH4448</v>
          </cell>
          <cell r="B2986" t="str">
            <v>D</v>
          </cell>
          <cell r="C2986">
            <v>35.25</v>
          </cell>
        </row>
        <row r="2987">
          <cell r="A2987" t="str">
            <v>LAF4451</v>
          </cell>
          <cell r="B2987" t="str">
            <v>D</v>
          </cell>
          <cell r="C2987">
            <v>53.63</v>
          </cell>
        </row>
        <row r="2988">
          <cell r="A2988" t="str">
            <v>LP4452</v>
          </cell>
          <cell r="B2988" t="str">
            <v>D</v>
          </cell>
          <cell r="C2988">
            <v>38.549999999999997</v>
          </cell>
        </row>
        <row r="2989">
          <cell r="A2989" t="str">
            <v>LP4453</v>
          </cell>
          <cell r="B2989" t="str">
            <v>D</v>
          </cell>
          <cell r="C2989">
            <v>62.5</v>
          </cell>
        </row>
        <row r="2990">
          <cell r="A2990" t="str">
            <v>P4456</v>
          </cell>
          <cell r="B2990" t="str">
            <v>D</v>
          </cell>
          <cell r="C2990">
            <v>8.6199999999999992</v>
          </cell>
        </row>
        <row r="2991">
          <cell r="A2991" t="str">
            <v>LP4458</v>
          </cell>
          <cell r="B2991" t="str">
            <v>D</v>
          </cell>
          <cell r="C2991">
            <v>120.33</v>
          </cell>
        </row>
        <row r="2992">
          <cell r="A2992" t="str">
            <v>LH4459</v>
          </cell>
          <cell r="B2992" t="str">
            <v>D</v>
          </cell>
          <cell r="C2992">
            <v>50.33</v>
          </cell>
        </row>
        <row r="2993">
          <cell r="A2993" t="str">
            <v>LP4460</v>
          </cell>
          <cell r="B2993" t="str">
            <v>D</v>
          </cell>
          <cell r="C2993">
            <v>57.64</v>
          </cell>
        </row>
        <row r="2994">
          <cell r="A2994" t="str">
            <v>LH4462</v>
          </cell>
          <cell r="B2994" t="str">
            <v>D</v>
          </cell>
          <cell r="C2994">
            <v>57.22</v>
          </cell>
        </row>
        <row r="2995">
          <cell r="A2995" t="str">
            <v>LH4465</v>
          </cell>
          <cell r="B2995" t="str">
            <v>D</v>
          </cell>
          <cell r="C2995">
            <v>120.99</v>
          </cell>
        </row>
        <row r="2996">
          <cell r="A2996" t="str">
            <v>LH4466</v>
          </cell>
          <cell r="B2996" t="str">
            <v>D</v>
          </cell>
          <cell r="C2996">
            <v>246.74</v>
          </cell>
        </row>
        <row r="2997">
          <cell r="A2997" t="str">
            <v>LP4467</v>
          </cell>
          <cell r="B2997" t="str">
            <v>D</v>
          </cell>
          <cell r="C2997">
            <v>48.3</v>
          </cell>
        </row>
        <row r="2998">
          <cell r="A2998" t="str">
            <v>LH4468</v>
          </cell>
          <cell r="B2998" t="str">
            <v>D</v>
          </cell>
          <cell r="C2998">
            <v>57.93</v>
          </cell>
        </row>
        <row r="2999">
          <cell r="A2999" t="str">
            <v>LP4469</v>
          </cell>
          <cell r="B2999" t="str">
            <v>D</v>
          </cell>
          <cell r="C2999">
            <v>19.48</v>
          </cell>
        </row>
        <row r="3000">
          <cell r="A3000" t="str">
            <v>LFF4470</v>
          </cell>
          <cell r="B3000" t="str">
            <v>A</v>
          </cell>
          <cell r="C3000">
            <v>12.87</v>
          </cell>
        </row>
        <row r="3001">
          <cell r="A3001" t="str">
            <v>LFF4471</v>
          </cell>
          <cell r="B3001" t="str">
            <v>B</v>
          </cell>
          <cell r="C3001">
            <v>14.38</v>
          </cell>
        </row>
        <row r="3002">
          <cell r="A3002" t="str">
            <v>LFH4471</v>
          </cell>
          <cell r="B3002" t="str">
            <v>B</v>
          </cell>
          <cell r="C3002">
            <v>57</v>
          </cell>
        </row>
        <row r="3003">
          <cell r="A3003" t="str">
            <v>LFH4472</v>
          </cell>
          <cell r="B3003" t="str">
            <v>D</v>
          </cell>
          <cell r="C3003">
            <v>131.99</v>
          </cell>
        </row>
        <row r="3004">
          <cell r="A3004" t="str">
            <v>LFH4473</v>
          </cell>
          <cell r="B3004" t="str">
            <v>B</v>
          </cell>
          <cell r="C3004">
            <v>68.459999999999994</v>
          </cell>
        </row>
        <row r="3005">
          <cell r="A3005" t="str">
            <v>LH4474</v>
          </cell>
          <cell r="B3005" t="str">
            <v>D</v>
          </cell>
          <cell r="C3005">
            <v>41.84</v>
          </cell>
        </row>
        <row r="3006">
          <cell r="A3006" t="str">
            <v>LH4475</v>
          </cell>
          <cell r="B3006" t="str">
            <v>D</v>
          </cell>
          <cell r="C3006">
            <v>211.59</v>
          </cell>
        </row>
        <row r="3007">
          <cell r="A3007" t="str">
            <v>LH4476</v>
          </cell>
          <cell r="B3007" t="str">
            <v>D</v>
          </cell>
          <cell r="C3007">
            <v>65.61</v>
          </cell>
        </row>
        <row r="3008">
          <cell r="A3008" t="str">
            <v>LH4480</v>
          </cell>
          <cell r="B3008" t="str">
            <v>D</v>
          </cell>
          <cell r="C3008">
            <v>43.7</v>
          </cell>
        </row>
        <row r="3009">
          <cell r="A3009" t="str">
            <v>LAF4482</v>
          </cell>
          <cell r="B3009" t="str">
            <v>N</v>
          </cell>
          <cell r="C3009">
            <v>177.5</v>
          </cell>
        </row>
        <row r="3010">
          <cell r="A3010" t="str">
            <v>LAF4490</v>
          </cell>
          <cell r="B3010" t="str">
            <v>D</v>
          </cell>
          <cell r="C3010">
            <v>124.54</v>
          </cell>
        </row>
        <row r="3011">
          <cell r="A3011">
            <v>4493</v>
          </cell>
          <cell r="B3011" t="str">
            <v>D</v>
          </cell>
          <cell r="C3011">
            <v>702.17</v>
          </cell>
        </row>
        <row r="3012">
          <cell r="A3012" t="str">
            <v>LAF4497</v>
          </cell>
          <cell r="B3012" t="str">
            <v>D</v>
          </cell>
          <cell r="C3012">
            <v>39.119999999999997</v>
          </cell>
        </row>
        <row r="3013">
          <cell r="A3013" t="str">
            <v>LAF4498</v>
          </cell>
          <cell r="B3013" t="str">
            <v>A</v>
          </cell>
          <cell r="C3013">
            <v>40.200000000000003</v>
          </cell>
        </row>
        <row r="3014">
          <cell r="A3014" t="str">
            <v>LAF4498MXM</v>
          </cell>
          <cell r="B3014" t="str">
            <v>N</v>
          </cell>
          <cell r="C3014">
            <v>54.65</v>
          </cell>
        </row>
        <row r="3015">
          <cell r="A3015" t="str">
            <v>LAF4499</v>
          </cell>
          <cell r="B3015" t="str">
            <v>D</v>
          </cell>
          <cell r="C3015">
            <v>43.5</v>
          </cell>
        </row>
        <row r="3016">
          <cell r="A3016" t="str">
            <v>LAF4499MXM</v>
          </cell>
          <cell r="B3016" t="str">
            <v>N</v>
          </cell>
          <cell r="C3016">
            <v>52.2</v>
          </cell>
        </row>
        <row r="3017">
          <cell r="A3017" t="str">
            <v>LAF4500</v>
          </cell>
          <cell r="B3017" t="str">
            <v>B</v>
          </cell>
          <cell r="C3017">
            <v>39.64</v>
          </cell>
        </row>
        <row r="3018">
          <cell r="A3018" t="str">
            <v>LAF4501</v>
          </cell>
          <cell r="B3018" t="str">
            <v>B</v>
          </cell>
          <cell r="C3018">
            <v>48.86</v>
          </cell>
        </row>
        <row r="3019">
          <cell r="A3019" t="str">
            <v>LAF4501MXM</v>
          </cell>
          <cell r="B3019" t="str">
            <v>N</v>
          </cell>
          <cell r="C3019">
            <v>72.709999999999994</v>
          </cell>
        </row>
        <row r="3020">
          <cell r="A3020" t="str">
            <v>LAF4502</v>
          </cell>
          <cell r="B3020" t="str">
            <v>B</v>
          </cell>
          <cell r="C3020">
            <v>38.65</v>
          </cell>
        </row>
        <row r="3021">
          <cell r="A3021" t="str">
            <v>LAF4503</v>
          </cell>
          <cell r="B3021" t="str">
            <v>B</v>
          </cell>
          <cell r="C3021">
            <v>55.14</v>
          </cell>
        </row>
        <row r="3022">
          <cell r="A3022" t="str">
            <v>LAF4503MXM</v>
          </cell>
          <cell r="B3022" t="str">
            <v>N</v>
          </cell>
          <cell r="C3022">
            <v>79.13</v>
          </cell>
        </row>
        <row r="3023">
          <cell r="A3023" t="str">
            <v>LAF4504</v>
          </cell>
          <cell r="B3023" t="str">
            <v>A</v>
          </cell>
          <cell r="C3023">
            <v>44.01</v>
          </cell>
        </row>
        <row r="3024">
          <cell r="A3024" t="str">
            <v>LAF4505</v>
          </cell>
          <cell r="B3024" t="str">
            <v>A</v>
          </cell>
          <cell r="C3024">
            <v>57.57</v>
          </cell>
        </row>
        <row r="3025">
          <cell r="A3025" t="str">
            <v>LAF4505MXM</v>
          </cell>
          <cell r="B3025" t="str">
            <v>N</v>
          </cell>
          <cell r="C3025">
            <v>98</v>
          </cell>
        </row>
        <row r="3026">
          <cell r="A3026" t="str">
            <v>LAF4506</v>
          </cell>
          <cell r="B3026" t="str">
            <v>A</v>
          </cell>
          <cell r="C3026">
            <v>61.71</v>
          </cell>
        </row>
        <row r="3027">
          <cell r="A3027" t="str">
            <v>LAF4507</v>
          </cell>
          <cell r="B3027" t="str">
            <v>D</v>
          </cell>
          <cell r="C3027">
            <v>93.38</v>
          </cell>
        </row>
        <row r="3028">
          <cell r="A3028" t="str">
            <v>LAF4508</v>
          </cell>
          <cell r="B3028" t="str">
            <v>D</v>
          </cell>
          <cell r="C3028">
            <v>87.4</v>
          </cell>
        </row>
        <row r="3029">
          <cell r="A3029" t="str">
            <v>LAF4509</v>
          </cell>
          <cell r="B3029" t="str">
            <v>D</v>
          </cell>
          <cell r="C3029">
            <v>93.7</v>
          </cell>
        </row>
        <row r="3030">
          <cell r="A3030" t="str">
            <v>LAF4509MXM</v>
          </cell>
          <cell r="B3030" t="str">
            <v>N</v>
          </cell>
          <cell r="C3030">
            <v>93.57</v>
          </cell>
        </row>
        <row r="3031">
          <cell r="A3031" t="str">
            <v>LAF4510</v>
          </cell>
          <cell r="B3031" t="str">
            <v>D</v>
          </cell>
          <cell r="C3031">
            <v>98.12</v>
          </cell>
        </row>
        <row r="3032">
          <cell r="A3032" t="str">
            <v>LAF4511</v>
          </cell>
          <cell r="B3032" t="str">
            <v>D</v>
          </cell>
          <cell r="C3032">
            <v>39.08</v>
          </cell>
        </row>
        <row r="3033">
          <cell r="A3033" t="str">
            <v>LFF4511</v>
          </cell>
          <cell r="B3033" t="str">
            <v>D</v>
          </cell>
          <cell r="C3033">
            <v>18.32</v>
          </cell>
        </row>
        <row r="3034">
          <cell r="A3034" t="str">
            <v>LFF4511-30</v>
          </cell>
          <cell r="B3034" t="str">
            <v>D</v>
          </cell>
          <cell r="C3034">
            <v>19.37</v>
          </cell>
        </row>
        <row r="3035">
          <cell r="A3035" t="str">
            <v>LFF4511DPS</v>
          </cell>
          <cell r="B3035" t="str">
            <v>D</v>
          </cell>
          <cell r="C3035">
            <v>35.06</v>
          </cell>
        </row>
        <row r="3036">
          <cell r="A3036" t="str">
            <v>LFF4511W</v>
          </cell>
          <cell r="B3036" t="str">
            <v>D</v>
          </cell>
          <cell r="C3036">
            <v>23.83</v>
          </cell>
        </row>
        <row r="3037">
          <cell r="A3037" t="str">
            <v>LFF4511W-30</v>
          </cell>
          <cell r="B3037" t="str">
            <v>D</v>
          </cell>
          <cell r="C3037">
            <v>24.69</v>
          </cell>
        </row>
        <row r="3038">
          <cell r="A3038" t="str">
            <v>LAF4512</v>
          </cell>
          <cell r="B3038" t="str">
            <v>D</v>
          </cell>
          <cell r="C3038">
            <v>7.65</v>
          </cell>
        </row>
        <row r="3039">
          <cell r="A3039" t="str">
            <v>LAF4514</v>
          </cell>
          <cell r="B3039" t="str">
            <v>D</v>
          </cell>
          <cell r="C3039">
            <v>143.88</v>
          </cell>
        </row>
        <row r="3040">
          <cell r="A3040" t="str">
            <v>AF4518</v>
          </cell>
          <cell r="B3040" t="str">
            <v>D</v>
          </cell>
          <cell r="C3040">
            <v>10.61</v>
          </cell>
        </row>
        <row r="3041">
          <cell r="A3041" t="str">
            <v>AF4519</v>
          </cell>
          <cell r="B3041" t="str">
            <v>D</v>
          </cell>
          <cell r="C3041">
            <v>11.06</v>
          </cell>
        </row>
        <row r="3042">
          <cell r="A3042" t="str">
            <v>AF4521</v>
          </cell>
          <cell r="B3042" t="str">
            <v>D</v>
          </cell>
          <cell r="C3042">
            <v>11.84</v>
          </cell>
        </row>
        <row r="3043">
          <cell r="A3043" t="str">
            <v>AF4523</v>
          </cell>
          <cell r="B3043" t="str">
            <v>D</v>
          </cell>
          <cell r="C3043">
            <v>10.37</v>
          </cell>
        </row>
        <row r="3044">
          <cell r="A3044" t="str">
            <v>LAF4526</v>
          </cell>
          <cell r="B3044" t="str">
            <v>D</v>
          </cell>
          <cell r="C3044">
            <v>32.869999999999997</v>
          </cell>
        </row>
        <row r="3045">
          <cell r="A3045" t="str">
            <v>LAF4544</v>
          </cell>
          <cell r="B3045" t="str">
            <v>A</v>
          </cell>
          <cell r="C3045">
            <v>36.24</v>
          </cell>
        </row>
        <row r="3046">
          <cell r="A3046" t="str">
            <v>LAF4544MXM</v>
          </cell>
          <cell r="B3046" t="str">
            <v>N</v>
          </cell>
          <cell r="C3046">
            <v>43.49</v>
          </cell>
        </row>
        <row r="3047">
          <cell r="A3047" t="str">
            <v>LAF4545</v>
          </cell>
          <cell r="B3047" t="str">
            <v>A</v>
          </cell>
          <cell r="C3047">
            <v>23.28</v>
          </cell>
        </row>
        <row r="3048">
          <cell r="A3048" t="str">
            <v>LAF4556</v>
          </cell>
          <cell r="B3048" t="str">
            <v>N</v>
          </cell>
          <cell r="C3048">
            <v>224.39</v>
          </cell>
        </row>
        <row r="3049">
          <cell r="A3049" t="str">
            <v>LAF4557</v>
          </cell>
          <cell r="B3049" t="str">
            <v>N</v>
          </cell>
          <cell r="C3049">
            <v>133.66</v>
          </cell>
        </row>
        <row r="3050">
          <cell r="A3050" t="str">
            <v>LH4565</v>
          </cell>
          <cell r="B3050" t="str">
            <v>D</v>
          </cell>
          <cell r="C3050">
            <v>474.2</v>
          </cell>
        </row>
        <row r="3051">
          <cell r="A3051" t="str">
            <v>LAF4575</v>
          </cell>
          <cell r="B3051" t="str">
            <v>D</v>
          </cell>
          <cell r="C3051">
            <v>90.82</v>
          </cell>
        </row>
        <row r="3052">
          <cell r="A3052" t="str">
            <v>LH4578</v>
          </cell>
          <cell r="B3052" t="str">
            <v>D</v>
          </cell>
          <cell r="C3052">
            <v>577.83000000000004</v>
          </cell>
        </row>
        <row r="3053">
          <cell r="A3053" t="str">
            <v>LH4582G</v>
          </cell>
          <cell r="B3053" t="str">
            <v>A</v>
          </cell>
          <cell r="C3053">
            <v>76.8</v>
          </cell>
        </row>
        <row r="3054">
          <cell r="A3054" t="str">
            <v>LH4583</v>
          </cell>
          <cell r="B3054" t="str">
            <v>D</v>
          </cell>
          <cell r="C3054">
            <v>148.47</v>
          </cell>
        </row>
        <row r="3055">
          <cell r="A3055" t="str">
            <v>LH4589G</v>
          </cell>
          <cell r="B3055" t="str">
            <v>D</v>
          </cell>
          <cell r="C3055">
            <v>200.77</v>
          </cell>
        </row>
        <row r="3056">
          <cell r="A3056" t="str">
            <v>LH4591G</v>
          </cell>
          <cell r="B3056" t="str">
            <v>D</v>
          </cell>
          <cell r="C3056">
            <v>117.55</v>
          </cell>
        </row>
        <row r="3057">
          <cell r="A3057" t="str">
            <v>LH4594</v>
          </cell>
          <cell r="B3057" t="str">
            <v>D</v>
          </cell>
          <cell r="C3057">
            <v>99.74</v>
          </cell>
        </row>
        <row r="3058">
          <cell r="A3058" t="str">
            <v>L4595F</v>
          </cell>
          <cell r="B3058" t="str">
            <v>B</v>
          </cell>
          <cell r="C3058">
            <v>32.130000000000003</v>
          </cell>
        </row>
        <row r="3059">
          <cell r="A3059" t="str">
            <v>L4596F</v>
          </cell>
          <cell r="B3059" t="str">
            <v>B</v>
          </cell>
          <cell r="C3059">
            <v>33.82</v>
          </cell>
        </row>
        <row r="3060">
          <cell r="A3060" t="str">
            <v>LH4596</v>
          </cell>
          <cell r="B3060" t="str">
            <v>D</v>
          </cell>
          <cell r="C3060">
            <v>115.34</v>
          </cell>
        </row>
        <row r="3061">
          <cell r="A3061" t="str">
            <v>L4597F</v>
          </cell>
          <cell r="B3061" t="str">
            <v>D</v>
          </cell>
          <cell r="C3061">
            <v>38.79</v>
          </cell>
        </row>
        <row r="3062">
          <cell r="A3062" t="str">
            <v>LH4598</v>
          </cell>
          <cell r="B3062" t="str">
            <v>D</v>
          </cell>
          <cell r="C3062">
            <v>141.91</v>
          </cell>
        </row>
        <row r="3063">
          <cell r="A3063" t="str">
            <v>LAF4601</v>
          </cell>
          <cell r="B3063" t="str">
            <v>D</v>
          </cell>
          <cell r="C3063">
            <v>88.05</v>
          </cell>
        </row>
        <row r="3064">
          <cell r="A3064" t="str">
            <v>LAF4602</v>
          </cell>
          <cell r="B3064" t="str">
            <v>D</v>
          </cell>
          <cell r="C3064">
            <v>87.06</v>
          </cell>
        </row>
        <row r="3065">
          <cell r="A3065" t="str">
            <v>L4604F</v>
          </cell>
          <cell r="B3065" t="str">
            <v>B</v>
          </cell>
          <cell r="C3065">
            <v>94.29</v>
          </cell>
        </row>
        <row r="3066">
          <cell r="A3066">
            <v>4606</v>
          </cell>
          <cell r="B3066" t="str">
            <v>D</v>
          </cell>
          <cell r="C3066">
            <v>582.73</v>
          </cell>
        </row>
        <row r="3067">
          <cell r="A3067" t="str">
            <v>L4606F</v>
          </cell>
          <cell r="B3067" t="str">
            <v>C</v>
          </cell>
          <cell r="C3067">
            <v>74.66</v>
          </cell>
        </row>
        <row r="3068">
          <cell r="A3068" t="str">
            <v>LAF4607</v>
          </cell>
          <cell r="B3068" t="str">
            <v>D</v>
          </cell>
          <cell r="C3068">
            <v>50.84</v>
          </cell>
        </row>
        <row r="3069">
          <cell r="A3069" t="str">
            <v>L4609F</v>
          </cell>
          <cell r="B3069" t="str">
            <v>C</v>
          </cell>
          <cell r="C3069">
            <v>74.37</v>
          </cell>
        </row>
        <row r="3070">
          <cell r="A3070">
            <v>4615</v>
          </cell>
          <cell r="B3070" t="str">
            <v>D</v>
          </cell>
          <cell r="C3070">
            <v>252.83</v>
          </cell>
        </row>
        <row r="3071">
          <cell r="A3071" t="str">
            <v>L4615F</v>
          </cell>
          <cell r="B3071" t="str">
            <v>D</v>
          </cell>
          <cell r="C3071">
            <v>91.72</v>
          </cell>
        </row>
        <row r="3072">
          <cell r="A3072" t="str">
            <v>LAF4618</v>
          </cell>
          <cell r="B3072" t="str">
            <v>D</v>
          </cell>
          <cell r="C3072">
            <v>88.69</v>
          </cell>
        </row>
        <row r="3073">
          <cell r="A3073" t="str">
            <v>LAF4620</v>
          </cell>
          <cell r="B3073" t="str">
            <v>D</v>
          </cell>
          <cell r="C3073">
            <v>62.28</v>
          </cell>
        </row>
        <row r="3074">
          <cell r="A3074" t="str">
            <v>LAF4621</v>
          </cell>
          <cell r="B3074" t="str">
            <v>D</v>
          </cell>
          <cell r="C3074">
            <v>34.200000000000003</v>
          </cell>
        </row>
        <row r="3075">
          <cell r="A3075" t="str">
            <v>LAF4629</v>
          </cell>
          <cell r="B3075" t="str">
            <v>N</v>
          </cell>
          <cell r="C3075">
            <v>39.03</v>
          </cell>
        </row>
        <row r="3076">
          <cell r="A3076" t="str">
            <v>LAF4631</v>
          </cell>
          <cell r="B3076" t="str">
            <v>D</v>
          </cell>
          <cell r="C3076">
            <v>55.89</v>
          </cell>
        </row>
        <row r="3077">
          <cell r="A3077" t="str">
            <v>LFH4635</v>
          </cell>
          <cell r="B3077" t="str">
            <v>D</v>
          </cell>
          <cell r="C3077">
            <v>23.87</v>
          </cell>
        </row>
        <row r="3078">
          <cell r="A3078" t="str">
            <v>LFH4635G</v>
          </cell>
          <cell r="B3078" t="str">
            <v>D</v>
          </cell>
          <cell r="C3078">
            <v>109.44</v>
          </cell>
        </row>
        <row r="3079">
          <cell r="A3079">
            <v>4636</v>
          </cell>
          <cell r="B3079" t="str">
            <v>D</v>
          </cell>
          <cell r="C3079">
            <v>504.27</v>
          </cell>
        </row>
        <row r="3080">
          <cell r="A3080" t="str">
            <v>LFH4636</v>
          </cell>
          <cell r="B3080" t="str">
            <v>D</v>
          </cell>
          <cell r="C3080">
            <v>24.76</v>
          </cell>
        </row>
        <row r="3081">
          <cell r="A3081" t="str">
            <v>LAF4638</v>
          </cell>
          <cell r="B3081" t="str">
            <v>N</v>
          </cell>
          <cell r="C3081">
            <v>88.17</v>
          </cell>
        </row>
        <row r="3082">
          <cell r="A3082">
            <v>4643</v>
          </cell>
          <cell r="B3082" t="str">
            <v>D</v>
          </cell>
          <cell r="C3082">
            <v>490.89</v>
          </cell>
        </row>
        <row r="3083">
          <cell r="A3083">
            <v>4666</v>
          </cell>
          <cell r="B3083" t="str">
            <v>D</v>
          </cell>
          <cell r="C3083">
            <v>33.65</v>
          </cell>
        </row>
        <row r="3084">
          <cell r="A3084" t="str">
            <v>LFW4685</v>
          </cell>
          <cell r="B3084" t="str">
            <v>B</v>
          </cell>
          <cell r="C3084">
            <v>10.39</v>
          </cell>
        </row>
        <row r="3085">
          <cell r="A3085" t="str">
            <v>LFW4685XL</v>
          </cell>
          <cell r="B3085" t="str">
            <v>D</v>
          </cell>
          <cell r="C3085">
            <v>41.75</v>
          </cell>
        </row>
        <row r="3086">
          <cell r="A3086" t="str">
            <v>LFW4686</v>
          </cell>
          <cell r="B3086" t="str">
            <v>C</v>
          </cell>
          <cell r="C3086">
            <v>9.5399999999999991</v>
          </cell>
        </row>
        <row r="3087">
          <cell r="A3087" t="str">
            <v>LFW4686XL</v>
          </cell>
          <cell r="B3087" t="str">
            <v>D</v>
          </cell>
          <cell r="C3087">
            <v>41.33</v>
          </cell>
        </row>
        <row r="3088">
          <cell r="A3088" t="str">
            <v>LFW4687</v>
          </cell>
          <cell r="B3088" t="str">
            <v>D</v>
          </cell>
          <cell r="C3088">
            <v>19.7</v>
          </cell>
        </row>
        <row r="3089">
          <cell r="A3089">
            <v>4690</v>
          </cell>
          <cell r="B3089" t="str">
            <v>D</v>
          </cell>
          <cell r="C3089">
            <v>621.36</v>
          </cell>
        </row>
        <row r="3090">
          <cell r="A3090" t="str">
            <v>LAF4712</v>
          </cell>
          <cell r="B3090" t="str">
            <v>N</v>
          </cell>
          <cell r="C3090">
            <v>20.27</v>
          </cell>
        </row>
        <row r="3091">
          <cell r="A3091" t="str">
            <v>LAF4714</v>
          </cell>
          <cell r="B3091" t="str">
            <v>D</v>
          </cell>
          <cell r="C3091">
            <v>94.38</v>
          </cell>
        </row>
        <row r="3092">
          <cell r="A3092">
            <v>4729</v>
          </cell>
          <cell r="B3092" t="str">
            <v>D</v>
          </cell>
          <cell r="C3092">
            <v>726.24</v>
          </cell>
        </row>
        <row r="3093">
          <cell r="A3093" t="str">
            <v>LP4736</v>
          </cell>
          <cell r="B3093" t="str">
            <v>D</v>
          </cell>
          <cell r="C3093">
            <v>14.54</v>
          </cell>
        </row>
        <row r="3094">
          <cell r="A3094" t="str">
            <v>LAF4738</v>
          </cell>
          <cell r="B3094" t="str">
            <v>D</v>
          </cell>
          <cell r="C3094">
            <v>64.55</v>
          </cell>
        </row>
        <row r="3095">
          <cell r="A3095" t="str">
            <v>LH4741</v>
          </cell>
          <cell r="B3095" t="str">
            <v>D</v>
          </cell>
          <cell r="C3095">
            <v>33.24</v>
          </cell>
        </row>
        <row r="3096">
          <cell r="A3096" t="str">
            <v>LH4742</v>
          </cell>
          <cell r="B3096" t="str">
            <v>D</v>
          </cell>
          <cell r="C3096">
            <v>129.99</v>
          </cell>
        </row>
        <row r="3097">
          <cell r="A3097" t="str">
            <v>LH4743</v>
          </cell>
          <cell r="B3097" t="str">
            <v>D</v>
          </cell>
          <cell r="C3097">
            <v>148.07</v>
          </cell>
        </row>
        <row r="3098">
          <cell r="A3098" t="str">
            <v>LFW4744</v>
          </cell>
          <cell r="B3098" t="str">
            <v>A</v>
          </cell>
          <cell r="C3098">
            <v>11.78</v>
          </cell>
        </row>
        <row r="3099">
          <cell r="A3099" t="str">
            <v>LH4745</v>
          </cell>
          <cell r="B3099" t="str">
            <v>D</v>
          </cell>
          <cell r="C3099">
            <v>117.6</v>
          </cell>
        </row>
        <row r="3100">
          <cell r="A3100" t="str">
            <v>LAF4759</v>
          </cell>
          <cell r="B3100" t="str">
            <v>D</v>
          </cell>
          <cell r="C3100">
            <v>66.25</v>
          </cell>
        </row>
        <row r="3101">
          <cell r="A3101">
            <v>4760</v>
          </cell>
          <cell r="B3101" t="str">
            <v>D</v>
          </cell>
          <cell r="C3101">
            <v>699.12</v>
          </cell>
        </row>
        <row r="3102">
          <cell r="A3102" t="str">
            <v>G4760</v>
          </cell>
          <cell r="B3102" t="str">
            <v>D</v>
          </cell>
          <cell r="C3102">
            <v>12.83</v>
          </cell>
        </row>
        <row r="3103">
          <cell r="A3103">
            <v>4761</v>
          </cell>
          <cell r="B3103" t="str">
            <v>D</v>
          </cell>
          <cell r="C3103">
            <v>1.54</v>
          </cell>
        </row>
        <row r="3104">
          <cell r="A3104">
            <v>4762</v>
          </cell>
          <cell r="B3104" t="str">
            <v>D</v>
          </cell>
          <cell r="C3104">
            <v>729</v>
          </cell>
        </row>
        <row r="3105">
          <cell r="A3105" t="str">
            <v>G4780</v>
          </cell>
          <cell r="B3105" t="str">
            <v>D</v>
          </cell>
          <cell r="C3105">
            <v>19.239999999999998</v>
          </cell>
        </row>
        <row r="3106">
          <cell r="A3106">
            <v>4783</v>
          </cell>
          <cell r="B3106" t="str">
            <v>D</v>
          </cell>
          <cell r="C3106">
            <v>20.66</v>
          </cell>
        </row>
        <row r="3107">
          <cell r="A3107" t="str">
            <v>LFF4783</v>
          </cell>
          <cell r="B3107" t="str">
            <v>A</v>
          </cell>
          <cell r="C3107">
            <v>15.15</v>
          </cell>
        </row>
        <row r="3108">
          <cell r="A3108" t="str">
            <v>LFF4783RD</v>
          </cell>
          <cell r="B3108" t="str">
            <v>C</v>
          </cell>
          <cell r="C3108">
            <v>15.21</v>
          </cell>
        </row>
        <row r="3109">
          <cell r="A3109">
            <v>4788</v>
          </cell>
          <cell r="B3109" t="str">
            <v>D</v>
          </cell>
          <cell r="C3109">
            <v>336.38</v>
          </cell>
        </row>
        <row r="3110">
          <cell r="A3110">
            <v>4792</v>
          </cell>
          <cell r="B3110" t="str">
            <v>D</v>
          </cell>
          <cell r="C3110">
            <v>742.69</v>
          </cell>
        </row>
        <row r="3111">
          <cell r="A3111" t="str">
            <v>LFF4806</v>
          </cell>
          <cell r="B3111" t="str">
            <v>C</v>
          </cell>
          <cell r="C3111">
            <v>8.15</v>
          </cell>
        </row>
        <row r="3112">
          <cell r="A3112" t="str">
            <v>LFF4812D</v>
          </cell>
          <cell r="B3112" t="str">
            <v>D</v>
          </cell>
          <cell r="C3112">
            <v>17.46</v>
          </cell>
        </row>
        <row r="3113">
          <cell r="A3113" t="str">
            <v>LFF4812D-30</v>
          </cell>
          <cell r="B3113" t="str">
            <v>D</v>
          </cell>
          <cell r="C3113">
            <v>18.3</v>
          </cell>
        </row>
        <row r="3114">
          <cell r="A3114" t="str">
            <v>LAF4816</v>
          </cell>
          <cell r="B3114" t="str">
            <v>A</v>
          </cell>
          <cell r="C3114">
            <v>80.94</v>
          </cell>
        </row>
        <row r="3115">
          <cell r="A3115">
            <v>4817</v>
          </cell>
          <cell r="B3115" t="str">
            <v>D</v>
          </cell>
          <cell r="C3115">
            <v>964.15</v>
          </cell>
        </row>
        <row r="3116">
          <cell r="A3116">
            <v>4835</v>
          </cell>
          <cell r="B3116" t="str">
            <v>D</v>
          </cell>
          <cell r="C3116">
            <v>24.36</v>
          </cell>
        </row>
        <row r="3117">
          <cell r="A3117" t="str">
            <v>LFP4836</v>
          </cell>
          <cell r="B3117" t="str">
            <v>B</v>
          </cell>
          <cell r="C3117">
            <v>21.1</v>
          </cell>
        </row>
        <row r="3118">
          <cell r="A3118" t="str">
            <v>LH4852</v>
          </cell>
          <cell r="B3118" t="str">
            <v>D</v>
          </cell>
          <cell r="C3118">
            <v>300.58</v>
          </cell>
        </row>
        <row r="3119">
          <cell r="A3119" t="str">
            <v>LH4853</v>
          </cell>
          <cell r="B3119" t="str">
            <v>D</v>
          </cell>
          <cell r="C3119">
            <v>403.6</v>
          </cell>
        </row>
        <row r="3120">
          <cell r="A3120">
            <v>4855</v>
          </cell>
          <cell r="B3120" t="str">
            <v>D</v>
          </cell>
          <cell r="C3120">
            <v>3749.84</v>
          </cell>
        </row>
        <row r="3121">
          <cell r="A3121" t="str">
            <v>LH4859V</v>
          </cell>
          <cell r="B3121" t="str">
            <v>N</v>
          </cell>
          <cell r="C3121">
            <v>81.510000000000005</v>
          </cell>
        </row>
        <row r="3122">
          <cell r="A3122" t="str">
            <v>LFW4860</v>
          </cell>
          <cell r="B3122" t="str">
            <v>B</v>
          </cell>
          <cell r="C3122">
            <v>11.5</v>
          </cell>
        </row>
        <row r="3123">
          <cell r="A3123" t="str">
            <v>LFW4860XL</v>
          </cell>
          <cell r="B3123" t="str">
            <v>D</v>
          </cell>
          <cell r="C3123">
            <v>35.35</v>
          </cell>
        </row>
        <row r="3124">
          <cell r="A3124" t="str">
            <v>LWHB4861</v>
          </cell>
          <cell r="B3124" t="str">
            <v>D</v>
          </cell>
          <cell r="C3124">
            <v>40.090000000000003</v>
          </cell>
        </row>
        <row r="3125">
          <cell r="A3125" t="str">
            <v>LMB4862</v>
          </cell>
          <cell r="B3125" t="str">
            <v>D</v>
          </cell>
          <cell r="C3125">
            <v>27.33</v>
          </cell>
        </row>
        <row r="3126">
          <cell r="A3126" t="str">
            <v>LWG4864</v>
          </cell>
          <cell r="B3126" t="str">
            <v>D</v>
          </cell>
          <cell r="C3126">
            <v>4.03</v>
          </cell>
        </row>
        <row r="3127">
          <cell r="A3127" t="str">
            <v>AF4897</v>
          </cell>
          <cell r="B3127" t="str">
            <v>D</v>
          </cell>
          <cell r="C3127">
            <v>12.59</v>
          </cell>
        </row>
        <row r="3128">
          <cell r="A3128" t="str">
            <v>LH4900</v>
          </cell>
          <cell r="B3128" t="str">
            <v>D</v>
          </cell>
          <cell r="C3128">
            <v>30.55</v>
          </cell>
        </row>
        <row r="3129">
          <cell r="A3129" t="str">
            <v>LH4901</v>
          </cell>
          <cell r="B3129" t="str">
            <v>D</v>
          </cell>
          <cell r="C3129">
            <v>91.99</v>
          </cell>
        </row>
        <row r="3130">
          <cell r="A3130" t="str">
            <v>LFH4902</v>
          </cell>
          <cell r="B3130" t="str">
            <v>D</v>
          </cell>
          <cell r="C3130">
            <v>83.42</v>
          </cell>
        </row>
        <row r="3131">
          <cell r="A3131" t="str">
            <v>LH4903</v>
          </cell>
          <cell r="B3131" t="str">
            <v>D</v>
          </cell>
          <cell r="C3131">
            <v>66.099999999999994</v>
          </cell>
        </row>
        <row r="3132">
          <cell r="A3132" t="str">
            <v>AF4904</v>
          </cell>
          <cell r="B3132" t="str">
            <v>D</v>
          </cell>
          <cell r="C3132">
            <v>24.39</v>
          </cell>
        </row>
        <row r="3133">
          <cell r="A3133" t="str">
            <v>LH4905</v>
          </cell>
          <cell r="B3133" t="str">
            <v>D</v>
          </cell>
          <cell r="C3133">
            <v>22.43</v>
          </cell>
        </row>
        <row r="3134">
          <cell r="A3134" t="str">
            <v>LH4906</v>
          </cell>
          <cell r="B3134" t="str">
            <v>D</v>
          </cell>
          <cell r="C3134">
            <v>58.69</v>
          </cell>
        </row>
        <row r="3135">
          <cell r="A3135" t="str">
            <v>LFH4908</v>
          </cell>
          <cell r="B3135" t="str">
            <v>D</v>
          </cell>
          <cell r="C3135">
            <v>21.52</v>
          </cell>
        </row>
        <row r="3136">
          <cell r="A3136" t="str">
            <v>LFH4909</v>
          </cell>
          <cell r="B3136" t="str">
            <v>B</v>
          </cell>
          <cell r="C3136">
            <v>20.100000000000001</v>
          </cell>
        </row>
        <row r="3137">
          <cell r="A3137" t="str">
            <v>LFH4909WA</v>
          </cell>
          <cell r="B3137" t="str">
            <v>N</v>
          </cell>
          <cell r="C3137">
            <v>21.11</v>
          </cell>
        </row>
        <row r="3138">
          <cell r="A3138" t="str">
            <v>LFH4910</v>
          </cell>
          <cell r="B3138" t="str">
            <v>A</v>
          </cell>
          <cell r="C3138">
            <v>57.01</v>
          </cell>
        </row>
        <row r="3139">
          <cell r="A3139" t="str">
            <v>LH4911</v>
          </cell>
          <cell r="B3139" t="str">
            <v>D</v>
          </cell>
          <cell r="C3139">
            <v>54.44</v>
          </cell>
        </row>
        <row r="3140">
          <cell r="A3140" t="str">
            <v>LH4912</v>
          </cell>
          <cell r="B3140" t="str">
            <v>D</v>
          </cell>
          <cell r="C3140">
            <v>28.6</v>
          </cell>
        </row>
        <row r="3141">
          <cell r="A3141" t="str">
            <v>LH4913</v>
          </cell>
          <cell r="B3141" t="str">
            <v>D</v>
          </cell>
          <cell r="C3141">
            <v>84.45</v>
          </cell>
        </row>
        <row r="3142">
          <cell r="A3142" t="str">
            <v>LH4914</v>
          </cell>
          <cell r="B3142" t="str">
            <v>D</v>
          </cell>
          <cell r="C3142">
            <v>16.63</v>
          </cell>
        </row>
        <row r="3143">
          <cell r="A3143" t="str">
            <v>LFH4915</v>
          </cell>
          <cell r="B3143" t="str">
            <v>A</v>
          </cell>
          <cell r="C3143">
            <v>37.200000000000003</v>
          </cell>
        </row>
        <row r="3144">
          <cell r="A3144" t="str">
            <v>LH4916-10</v>
          </cell>
          <cell r="B3144" t="str">
            <v>D</v>
          </cell>
          <cell r="C3144">
            <v>45.17</v>
          </cell>
        </row>
        <row r="3145">
          <cell r="A3145" t="str">
            <v>LH4918</v>
          </cell>
          <cell r="B3145" t="str">
            <v>D</v>
          </cell>
          <cell r="C3145">
            <v>10.61</v>
          </cell>
        </row>
        <row r="3146">
          <cell r="A3146" t="str">
            <v>LH4920</v>
          </cell>
          <cell r="B3146" t="str">
            <v>D</v>
          </cell>
          <cell r="C3146">
            <v>22.24</v>
          </cell>
        </row>
        <row r="3147">
          <cell r="A3147" t="str">
            <v>LH4921</v>
          </cell>
          <cell r="B3147" t="str">
            <v>D</v>
          </cell>
          <cell r="C3147">
            <v>33.92</v>
          </cell>
        </row>
        <row r="3148">
          <cell r="A3148" t="str">
            <v>LFH4922</v>
          </cell>
          <cell r="B3148" t="str">
            <v>B</v>
          </cell>
          <cell r="C3148">
            <v>19.21</v>
          </cell>
        </row>
        <row r="3149">
          <cell r="A3149" t="str">
            <v>LH4923</v>
          </cell>
          <cell r="B3149" t="str">
            <v>D</v>
          </cell>
          <cell r="C3149">
            <v>33.58</v>
          </cell>
        </row>
        <row r="3150">
          <cell r="A3150" t="str">
            <v>LH4924</v>
          </cell>
          <cell r="B3150" t="str">
            <v>D</v>
          </cell>
          <cell r="C3150">
            <v>20.66</v>
          </cell>
        </row>
        <row r="3151">
          <cell r="A3151" t="str">
            <v>LFH4926</v>
          </cell>
          <cell r="B3151" t="str">
            <v>C</v>
          </cell>
          <cell r="C3151">
            <v>12.97</v>
          </cell>
        </row>
        <row r="3152">
          <cell r="A3152" t="str">
            <v>LH4928</v>
          </cell>
          <cell r="B3152" t="str">
            <v>D</v>
          </cell>
          <cell r="C3152">
            <v>17.68</v>
          </cell>
        </row>
        <row r="3153">
          <cell r="A3153" t="str">
            <v>LFH4929</v>
          </cell>
          <cell r="B3153" t="str">
            <v>D</v>
          </cell>
          <cell r="C3153">
            <v>18.37</v>
          </cell>
        </row>
        <row r="3154">
          <cell r="A3154" t="str">
            <v>LH4930</v>
          </cell>
          <cell r="B3154" t="str">
            <v>D</v>
          </cell>
          <cell r="C3154">
            <v>11.66</v>
          </cell>
        </row>
        <row r="3155">
          <cell r="A3155" t="str">
            <v>LH4931</v>
          </cell>
          <cell r="B3155" t="str">
            <v>D</v>
          </cell>
          <cell r="C3155">
            <v>21.18</v>
          </cell>
        </row>
        <row r="3156">
          <cell r="A3156" t="str">
            <v>LH4932</v>
          </cell>
          <cell r="B3156" t="str">
            <v>B</v>
          </cell>
          <cell r="C3156">
            <v>27.23</v>
          </cell>
        </row>
        <row r="3157">
          <cell r="A3157" t="str">
            <v>LH4932G</v>
          </cell>
          <cell r="B3157" t="str">
            <v>N</v>
          </cell>
          <cell r="C3157">
            <v>52.65</v>
          </cell>
        </row>
        <row r="3158">
          <cell r="A3158" t="str">
            <v>LFH4933</v>
          </cell>
          <cell r="B3158" t="str">
            <v>B</v>
          </cell>
          <cell r="C3158">
            <v>16.329999999999998</v>
          </cell>
        </row>
        <row r="3159">
          <cell r="A3159" t="str">
            <v>LFH4935</v>
          </cell>
          <cell r="B3159" t="str">
            <v>D</v>
          </cell>
          <cell r="C3159">
            <v>16.25</v>
          </cell>
        </row>
        <row r="3160">
          <cell r="A3160" t="str">
            <v>LFH4936</v>
          </cell>
          <cell r="B3160" t="str">
            <v>D</v>
          </cell>
          <cell r="C3160">
            <v>52.16</v>
          </cell>
        </row>
        <row r="3161">
          <cell r="A3161" t="str">
            <v>LH4939</v>
          </cell>
          <cell r="B3161" t="str">
            <v>D</v>
          </cell>
          <cell r="C3161">
            <v>33.6</v>
          </cell>
        </row>
        <row r="3162">
          <cell r="A3162" t="str">
            <v>LH4942</v>
          </cell>
          <cell r="B3162" t="str">
            <v>D</v>
          </cell>
          <cell r="C3162">
            <v>34.83</v>
          </cell>
        </row>
        <row r="3163">
          <cell r="A3163" t="str">
            <v>LFH4943</v>
          </cell>
          <cell r="B3163" t="str">
            <v>C</v>
          </cell>
          <cell r="C3163">
            <v>10.79</v>
          </cell>
        </row>
        <row r="3164">
          <cell r="A3164" t="str">
            <v>LFH4944</v>
          </cell>
          <cell r="B3164" t="str">
            <v>D</v>
          </cell>
          <cell r="C3164">
            <v>20.25</v>
          </cell>
        </row>
        <row r="3165">
          <cell r="A3165" t="str">
            <v>LH4946</v>
          </cell>
          <cell r="B3165" t="str">
            <v>D</v>
          </cell>
          <cell r="C3165">
            <v>60.21</v>
          </cell>
        </row>
        <row r="3166">
          <cell r="A3166" t="str">
            <v>LFH4948</v>
          </cell>
          <cell r="B3166" t="str">
            <v>D</v>
          </cell>
          <cell r="C3166">
            <v>98.92</v>
          </cell>
        </row>
        <row r="3167">
          <cell r="A3167" t="str">
            <v>LH4949</v>
          </cell>
          <cell r="B3167" t="str">
            <v>D</v>
          </cell>
          <cell r="C3167">
            <v>35.130000000000003</v>
          </cell>
        </row>
        <row r="3168">
          <cell r="A3168" t="str">
            <v>LFH4950</v>
          </cell>
          <cell r="B3168" t="str">
            <v>D</v>
          </cell>
          <cell r="C3168">
            <v>59.69</v>
          </cell>
        </row>
        <row r="3169">
          <cell r="A3169" t="str">
            <v>LFH4951</v>
          </cell>
          <cell r="B3169" t="str">
            <v>D</v>
          </cell>
          <cell r="C3169">
            <v>55.65</v>
          </cell>
        </row>
        <row r="3170">
          <cell r="A3170" t="str">
            <v>LFH4953</v>
          </cell>
          <cell r="B3170" t="str">
            <v>D</v>
          </cell>
          <cell r="C3170">
            <v>89.05</v>
          </cell>
        </row>
        <row r="3171">
          <cell r="A3171" t="str">
            <v>LFH4955</v>
          </cell>
          <cell r="B3171" t="str">
            <v>A</v>
          </cell>
          <cell r="C3171">
            <v>20.350000000000001</v>
          </cell>
        </row>
        <row r="3172">
          <cell r="A3172" t="str">
            <v>LFH4957</v>
          </cell>
          <cell r="B3172" t="str">
            <v>D</v>
          </cell>
          <cell r="C3172">
            <v>61.8</v>
          </cell>
        </row>
        <row r="3173">
          <cell r="A3173" t="str">
            <v>LFH4959</v>
          </cell>
          <cell r="B3173" t="str">
            <v>A</v>
          </cell>
          <cell r="C3173">
            <v>49.81</v>
          </cell>
        </row>
        <row r="3174">
          <cell r="A3174" t="str">
            <v>LFH4960</v>
          </cell>
          <cell r="B3174" t="str">
            <v>D</v>
          </cell>
          <cell r="C3174">
            <v>13.19</v>
          </cell>
        </row>
        <row r="3175">
          <cell r="A3175" t="str">
            <v>LFH4961</v>
          </cell>
          <cell r="B3175" t="str">
            <v>D</v>
          </cell>
          <cell r="C3175">
            <v>47.47</v>
          </cell>
        </row>
        <row r="3176">
          <cell r="A3176" t="str">
            <v>LH4963</v>
          </cell>
          <cell r="B3176" t="str">
            <v>D</v>
          </cell>
          <cell r="C3176">
            <v>67.2</v>
          </cell>
        </row>
        <row r="3177">
          <cell r="A3177" t="str">
            <v>LFH4967</v>
          </cell>
          <cell r="B3177" t="str">
            <v>D</v>
          </cell>
          <cell r="C3177">
            <v>20.67</v>
          </cell>
        </row>
        <row r="3178">
          <cell r="A3178" t="str">
            <v>LFH4968</v>
          </cell>
          <cell r="B3178" t="str">
            <v>D</v>
          </cell>
          <cell r="C3178">
            <v>40.270000000000003</v>
          </cell>
        </row>
        <row r="3179">
          <cell r="A3179" t="str">
            <v>LH4969</v>
          </cell>
          <cell r="B3179" t="str">
            <v>D</v>
          </cell>
          <cell r="C3179">
            <v>54.49</v>
          </cell>
        </row>
        <row r="3180">
          <cell r="A3180" t="str">
            <v>LFH4970</v>
          </cell>
          <cell r="B3180" t="str">
            <v>D</v>
          </cell>
          <cell r="C3180">
            <v>43.04</v>
          </cell>
        </row>
        <row r="3181">
          <cell r="A3181" t="str">
            <v>LFH4972</v>
          </cell>
          <cell r="B3181" t="str">
            <v>B</v>
          </cell>
          <cell r="C3181">
            <v>48.81</v>
          </cell>
        </row>
        <row r="3182">
          <cell r="A3182" t="str">
            <v>LFH4978</v>
          </cell>
          <cell r="B3182" t="str">
            <v>D</v>
          </cell>
          <cell r="C3182">
            <v>47.63</v>
          </cell>
        </row>
        <row r="3183">
          <cell r="A3183" t="str">
            <v>LH4979</v>
          </cell>
          <cell r="B3183" t="str">
            <v>D</v>
          </cell>
          <cell r="C3183">
            <v>49</v>
          </cell>
        </row>
        <row r="3184">
          <cell r="A3184" t="str">
            <v>LH4983</v>
          </cell>
          <cell r="B3184" t="str">
            <v>D</v>
          </cell>
          <cell r="C3184">
            <v>220.6</v>
          </cell>
        </row>
        <row r="3185">
          <cell r="A3185" t="str">
            <v>LFH4984</v>
          </cell>
          <cell r="B3185" t="str">
            <v>A</v>
          </cell>
          <cell r="C3185">
            <v>8.56</v>
          </cell>
        </row>
        <row r="3186">
          <cell r="A3186" t="str">
            <v>LH4985</v>
          </cell>
          <cell r="B3186" t="str">
            <v>D</v>
          </cell>
          <cell r="C3186">
            <v>82.46</v>
          </cell>
        </row>
        <row r="3187">
          <cell r="A3187" t="str">
            <v>LH4986</v>
          </cell>
          <cell r="B3187" t="str">
            <v>D</v>
          </cell>
          <cell r="C3187">
            <v>162.1</v>
          </cell>
        </row>
        <row r="3188">
          <cell r="A3188" t="str">
            <v>LFH4987</v>
          </cell>
          <cell r="B3188" t="str">
            <v>D</v>
          </cell>
          <cell r="C3188">
            <v>12.4</v>
          </cell>
        </row>
        <row r="3189">
          <cell r="A3189" t="str">
            <v>LFH4988</v>
          </cell>
          <cell r="B3189" t="str">
            <v>A</v>
          </cell>
          <cell r="C3189">
            <v>18.66</v>
          </cell>
        </row>
        <row r="3190">
          <cell r="A3190" t="str">
            <v>LFH4989</v>
          </cell>
          <cell r="B3190" t="str">
            <v>D</v>
          </cell>
          <cell r="C3190">
            <v>83.85</v>
          </cell>
        </row>
        <row r="3191">
          <cell r="A3191" t="str">
            <v>LFH4990</v>
          </cell>
          <cell r="B3191" t="str">
            <v>B</v>
          </cell>
          <cell r="C3191">
            <v>59.89</v>
          </cell>
        </row>
        <row r="3192">
          <cell r="A3192" t="str">
            <v>LH4991</v>
          </cell>
          <cell r="B3192" t="str">
            <v>D</v>
          </cell>
          <cell r="C3192">
            <v>35.020000000000003</v>
          </cell>
        </row>
        <row r="3193">
          <cell r="A3193" t="str">
            <v>LH4992</v>
          </cell>
          <cell r="B3193" t="str">
            <v>D</v>
          </cell>
          <cell r="C3193">
            <v>29.59</v>
          </cell>
        </row>
        <row r="3194">
          <cell r="A3194" t="str">
            <v>LH4993</v>
          </cell>
          <cell r="B3194" t="str">
            <v>D</v>
          </cell>
          <cell r="C3194">
            <v>25.29</v>
          </cell>
        </row>
        <row r="3195">
          <cell r="A3195" t="str">
            <v>LH4994</v>
          </cell>
          <cell r="B3195" t="str">
            <v>D</v>
          </cell>
          <cell r="C3195">
            <v>29.27</v>
          </cell>
        </row>
        <row r="3196">
          <cell r="A3196" t="str">
            <v>LH4995</v>
          </cell>
          <cell r="B3196" t="str">
            <v>D</v>
          </cell>
          <cell r="C3196">
            <v>30.32</v>
          </cell>
        </row>
        <row r="3197">
          <cell r="A3197" t="str">
            <v>LH4996</v>
          </cell>
          <cell r="B3197" t="str">
            <v>D</v>
          </cell>
          <cell r="C3197">
            <v>75.180000000000007</v>
          </cell>
        </row>
        <row r="3198">
          <cell r="A3198" t="str">
            <v>LH4998</v>
          </cell>
          <cell r="B3198" t="str">
            <v>D</v>
          </cell>
          <cell r="C3198">
            <v>61.05</v>
          </cell>
        </row>
        <row r="3199">
          <cell r="A3199" t="str">
            <v>LH4999</v>
          </cell>
          <cell r="B3199" t="str">
            <v>D</v>
          </cell>
          <cell r="C3199">
            <v>151.53</v>
          </cell>
        </row>
        <row r="3200">
          <cell r="A3200" t="str">
            <v>LH5000</v>
          </cell>
          <cell r="B3200" t="str">
            <v>D</v>
          </cell>
          <cell r="C3200">
            <v>90.53</v>
          </cell>
        </row>
        <row r="3201">
          <cell r="A3201" t="str">
            <v>LH5001</v>
          </cell>
          <cell r="B3201" t="str">
            <v>D</v>
          </cell>
          <cell r="C3201">
            <v>115.65</v>
          </cell>
        </row>
        <row r="3202">
          <cell r="A3202" t="str">
            <v>LFF5002</v>
          </cell>
          <cell r="B3202" t="str">
            <v>A</v>
          </cell>
          <cell r="C3202">
            <v>9.3800000000000008</v>
          </cell>
        </row>
        <row r="3203">
          <cell r="A3203" t="str">
            <v>LH5003</v>
          </cell>
          <cell r="B3203" t="str">
            <v>D</v>
          </cell>
          <cell r="C3203">
            <v>46.19</v>
          </cell>
        </row>
        <row r="3204">
          <cell r="A3204" t="str">
            <v>LFH5004</v>
          </cell>
          <cell r="B3204" t="str">
            <v>D</v>
          </cell>
          <cell r="C3204">
            <v>112.73</v>
          </cell>
        </row>
        <row r="3205">
          <cell r="A3205" t="str">
            <v>LP5005</v>
          </cell>
          <cell r="B3205" t="str">
            <v>C</v>
          </cell>
          <cell r="C3205">
            <v>14.81</v>
          </cell>
        </row>
        <row r="3206">
          <cell r="A3206" t="str">
            <v>LH5006</v>
          </cell>
          <cell r="B3206" t="str">
            <v>D</v>
          </cell>
          <cell r="C3206">
            <v>121.02</v>
          </cell>
        </row>
        <row r="3207">
          <cell r="A3207" t="str">
            <v>LH5007</v>
          </cell>
          <cell r="B3207" t="str">
            <v>D</v>
          </cell>
          <cell r="C3207">
            <v>228.1</v>
          </cell>
        </row>
        <row r="3208">
          <cell r="A3208" t="str">
            <v>LH5008</v>
          </cell>
          <cell r="B3208" t="str">
            <v>D</v>
          </cell>
          <cell r="C3208">
            <v>76.66</v>
          </cell>
        </row>
        <row r="3209">
          <cell r="A3209">
            <v>5009</v>
          </cell>
          <cell r="B3209" t="str">
            <v>D</v>
          </cell>
          <cell r="C3209">
            <v>402.24</v>
          </cell>
        </row>
        <row r="3210">
          <cell r="A3210" t="str">
            <v>LFP5010</v>
          </cell>
          <cell r="B3210" t="str">
            <v>D</v>
          </cell>
          <cell r="C3210">
            <v>17.23</v>
          </cell>
        </row>
        <row r="3211">
          <cell r="A3211" t="str">
            <v>LFH5011-03</v>
          </cell>
          <cell r="B3211" t="str">
            <v>D</v>
          </cell>
          <cell r="C3211">
            <v>25</v>
          </cell>
        </row>
        <row r="3212">
          <cell r="A3212" t="str">
            <v>LFH5011-10</v>
          </cell>
          <cell r="B3212" t="str">
            <v>B</v>
          </cell>
          <cell r="C3212">
            <v>25.77</v>
          </cell>
        </row>
        <row r="3213">
          <cell r="A3213" t="str">
            <v>LFH5011-25</v>
          </cell>
          <cell r="B3213" t="str">
            <v>D</v>
          </cell>
          <cell r="C3213">
            <v>20.149999999999999</v>
          </cell>
        </row>
        <row r="3214">
          <cell r="A3214" t="str">
            <v>LFH5011-W</v>
          </cell>
          <cell r="B3214" t="str">
            <v>B</v>
          </cell>
          <cell r="C3214">
            <v>33.25</v>
          </cell>
        </row>
        <row r="3215">
          <cell r="A3215" t="str">
            <v>LFH5011W-30</v>
          </cell>
          <cell r="B3215" t="str">
            <v>D</v>
          </cell>
          <cell r="C3215">
            <v>57.63</v>
          </cell>
        </row>
        <row r="3216">
          <cell r="A3216" t="str">
            <v>LH5012</v>
          </cell>
          <cell r="B3216" t="str">
            <v>D</v>
          </cell>
          <cell r="C3216">
            <v>135.83000000000001</v>
          </cell>
        </row>
        <row r="3217">
          <cell r="A3217" t="str">
            <v>LFH5013</v>
          </cell>
          <cell r="B3217" t="str">
            <v>A</v>
          </cell>
          <cell r="C3217">
            <v>84.77</v>
          </cell>
        </row>
        <row r="3218">
          <cell r="A3218">
            <v>5014</v>
          </cell>
          <cell r="B3218" t="str">
            <v>D</v>
          </cell>
          <cell r="C3218">
            <v>506</v>
          </cell>
        </row>
        <row r="3219">
          <cell r="A3219" t="str">
            <v>LFH5014</v>
          </cell>
          <cell r="B3219" t="str">
            <v>D</v>
          </cell>
          <cell r="C3219">
            <v>38.75</v>
          </cell>
        </row>
        <row r="3220">
          <cell r="A3220">
            <v>5015</v>
          </cell>
          <cell r="B3220" t="str">
            <v>D</v>
          </cell>
          <cell r="C3220">
            <v>807.29</v>
          </cell>
        </row>
        <row r="3221">
          <cell r="A3221" t="str">
            <v>LFH5015</v>
          </cell>
          <cell r="B3221" t="str">
            <v>D</v>
          </cell>
          <cell r="C3221">
            <v>51.53</v>
          </cell>
        </row>
        <row r="3222">
          <cell r="A3222" t="str">
            <v>LFP5015G</v>
          </cell>
          <cell r="B3222" t="str">
            <v>D</v>
          </cell>
          <cell r="C3222">
            <v>64.56</v>
          </cell>
        </row>
        <row r="3223">
          <cell r="A3223" t="str">
            <v>LH5017</v>
          </cell>
          <cell r="B3223" t="str">
            <v>D</v>
          </cell>
          <cell r="C3223">
            <v>130.96</v>
          </cell>
        </row>
        <row r="3224">
          <cell r="A3224" t="str">
            <v>LH5018</v>
          </cell>
          <cell r="B3224" t="str">
            <v>D</v>
          </cell>
          <cell r="C3224">
            <v>86.53</v>
          </cell>
        </row>
        <row r="3225">
          <cell r="A3225" t="str">
            <v>LH5020</v>
          </cell>
          <cell r="B3225" t="str">
            <v>D</v>
          </cell>
          <cell r="C3225">
            <v>85.51</v>
          </cell>
        </row>
        <row r="3226">
          <cell r="A3226" t="str">
            <v>L5021F</v>
          </cell>
          <cell r="B3226" t="str">
            <v>C</v>
          </cell>
          <cell r="C3226">
            <v>33.659999999999997</v>
          </cell>
        </row>
        <row r="3227">
          <cell r="A3227" t="str">
            <v>LAF5022</v>
          </cell>
          <cell r="B3227" t="str">
            <v>D</v>
          </cell>
          <cell r="C3227">
            <v>120.78</v>
          </cell>
        </row>
        <row r="3228">
          <cell r="A3228" t="str">
            <v>LAF5022MXM</v>
          </cell>
          <cell r="B3228" t="str">
            <v>N</v>
          </cell>
          <cell r="C3228">
            <v>111.79</v>
          </cell>
        </row>
        <row r="3229">
          <cell r="A3229" t="str">
            <v>LAF5023</v>
          </cell>
          <cell r="B3229" t="str">
            <v>A</v>
          </cell>
          <cell r="C3229">
            <v>19.739999999999998</v>
          </cell>
        </row>
        <row r="3230">
          <cell r="A3230" t="str">
            <v>LAF5024</v>
          </cell>
          <cell r="B3230" t="str">
            <v>D</v>
          </cell>
          <cell r="C3230">
            <v>21.34</v>
          </cell>
        </row>
        <row r="3231">
          <cell r="A3231" t="str">
            <v>LAF5026</v>
          </cell>
          <cell r="B3231" t="str">
            <v>D</v>
          </cell>
          <cell r="C3231">
            <v>48.85</v>
          </cell>
        </row>
        <row r="3232">
          <cell r="A3232" t="str">
            <v>LAF5028</v>
          </cell>
          <cell r="B3232" t="str">
            <v>D</v>
          </cell>
          <cell r="C3232">
            <v>23.84</v>
          </cell>
        </row>
        <row r="3233">
          <cell r="A3233" t="str">
            <v>AF5034</v>
          </cell>
          <cell r="B3233" t="str">
            <v>D</v>
          </cell>
          <cell r="C3233">
            <v>27.52</v>
          </cell>
        </row>
        <row r="3234">
          <cell r="A3234" t="str">
            <v>LAF5035</v>
          </cell>
          <cell r="B3234" t="str">
            <v>D</v>
          </cell>
          <cell r="C3234">
            <v>96.72</v>
          </cell>
        </row>
        <row r="3235">
          <cell r="A3235" t="str">
            <v>LP5036</v>
          </cell>
          <cell r="B3235" t="str">
            <v>D</v>
          </cell>
          <cell r="C3235">
            <v>40.909999999999997</v>
          </cell>
        </row>
        <row r="3236">
          <cell r="A3236" t="str">
            <v>AF5037</v>
          </cell>
          <cell r="B3236" t="str">
            <v>D</v>
          </cell>
          <cell r="C3236">
            <v>29.39</v>
          </cell>
        </row>
        <row r="3237">
          <cell r="A3237" t="str">
            <v>LAF5038</v>
          </cell>
          <cell r="B3237" t="str">
            <v>D</v>
          </cell>
          <cell r="C3237">
            <v>35.71</v>
          </cell>
        </row>
        <row r="3238">
          <cell r="A3238" t="str">
            <v>AF5039</v>
          </cell>
          <cell r="B3238" t="str">
            <v>D</v>
          </cell>
          <cell r="C3238">
            <v>26.08</v>
          </cell>
        </row>
        <row r="3239">
          <cell r="A3239" t="str">
            <v>LP5040</v>
          </cell>
          <cell r="B3239" t="str">
            <v>D</v>
          </cell>
          <cell r="C3239">
            <v>53.66</v>
          </cell>
        </row>
        <row r="3240">
          <cell r="A3240" t="str">
            <v>LP5041</v>
          </cell>
          <cell r="B3240" t="str">
            <v>D</v>
          </cell>
          <cell r="C3240">
            <v>40.83</v>
          </cell>
        </row>
        <row r="3241">
          <cell r="A3241" t="str">
            <v>LAF5042</v>
          </cell>
          <cell r="B3241" t="str">
            <v>D</v>
          </cell>
          <cell r="C3241">
            <v>63.39</v>
          </cell>
        </row>
        <row r="3242">
          <cell r="A3242" t="str">
            <v>LP5043</v>
          </cell>
          <cell r="B3242" t="str">
            <v>D</v>
          </cell>
          <cell r="C3242">
            <v>26.1</v>
          </cell>
        </row>
        <row r="3243">
          <cell r="A3243" t="str">
            <v>LAF5044</v>
          </cell>
          <cell r="B3243" t="str">
            <v>D</v>
          </cell>
          <cell r="C3243">
            <v>84.65</v>
          </cell>
        </row>
        <row r="3244">
          <cell r="A3244" t="str">
            <v>LP5048</v>
          </cell>
          <cell r="B3244" t="str">
            <v>A</v>
          </cell>
          <cell r="C3244">
            <v>25.31</v>
          </cell>
        </row>
        <row r="3245">
          <cell r="A3245" t="str">
            <v>LH5049</v>
          </cell>
          <cell r="B3245" t="str">
            <v>N</v>
          </cell>
          <cell r="C3245">
            <v>14.4</v>
          </cell>
        </row>
        <row r="3246">
          <cell r="A3246" t="str">
            <v>LAF5054A</v>
          </cell>
          <cell r="B3246" t="str">
            <v>D</v>
          </cell>
          <cell r="C3246">
            <v>40.590000000000003</v>
          </cell>
        </row>
        <row r="3247">
          <cell r="A3247" t="str">
            <v>LFH5068-10</v>
          </cell>
          <cell r="B3247" t="str">
            <v>A</v>
          </cell>
          <cell r="C3247">
            <v>16.809999999999999</v>
          </cell>
        </row>
        <row r="3248">
          <cell r="A3248" t="str">
            <v>LAF5069</v>
          </cell>
          <cell r="B3248" t="str">
            <v>D</v>
          </cell>
          <cell r="C3248">
            <v>162.30000000000001</v>
          </cell>
        </row>
        <row r="3249">
          <cell r="A3249" t="str">
            <v>LAF5069MXM</v>
          </cell>
          <cell r="B3249" t="str">
            <v>N</v>
          </cell>
          <cell r="C3249">
            <v>231</v>
          </cell>
        </row>
        <row r="3250">
          <cell r="A3250" t="str">
            <v>LAF5070</v>
          </cell>
          <cell r="B3250" t="str">
            <v>D</v>
          </cell>
          <cell r="C3250">
            <v>97.68</v>
          </cell>
        </row>
        <row r="3251">
          <cell r="A3251" t="str">
            <v>LFH5071</v>
          </cell>
          <cell r="B3251" t="str">
            <v>D</v>
          </cell>
          <cell r="C3251">
            <v>143.4</v>
          </cell>
        </row>
        <row r="3252">
          <cell r="A3252" t="str">
            <v>LH5072</v>
          </cell>
          <cell r="B3252" t="str">
            <v>D</v>
          </cell>
          <cell r="C3252">
            <v>134.53</v>
          </cell>
        </row>
        <row r="3253">
          <cell r="A3253" t="str">
            <v>LFH5074G</v>
          </cell>
          <cell r="B3253" t="str">
            <v>D</v>
          </cell>
          <cell r="C3253">
            <v>61.41</v>
          </cell>
        </row>
        <row r="3254">
          <cell r="A3254" t="str">
            <v>LFH5075</v>
          </cell>
          <cell r="B3254" t="str">
            <v>D</v>
          </cell>
          <cell r="C3254">
            <v>100.44</v>
          </cell>
        </row>
        <row r="3255">
          <cell r="A3255" t="str">
            <v>LFH5079G</v>
          </cell>
          <cell r="B3255" t="str">
            <v>D</v>
          </cell>
          <cell r="C3255">
            <v>109.44</v>
          </cell>
        </row>
        <row r="3256">
          <cell r="A3256" t="str">
            <v>LFF5080</v>
          </cell>
          <cell r="B3256" t="str">
            <v>D</v>
          </cell>
          <cell r="C3256">
            <v>120.79</v>
          </cell>
        </row>
        <row r="3257">
          <cell r="A3257" t="str">
            <v>LAF5081</v>
          </cell>
          <cell r="B3257" t="str">
            <v>D</v>
          </cell>
          <cell r="C3257">
            <v>214.68</v>
          </cell>
        </row>
        <row r="3258">
          <cell r="A3258" t="str">
            <v>LAF5082</v>
          </cell>
          <cell r="B3258" t="str">
            <v>D</v>
          </cell>
          <cell r="C3258">
            <v>224.78</v>
          </cell>
        </row>
        <row r="3259">
          <cell r="A3259" t="str">
            <v>LFH5083</v>
          </cell>
          <cell r="B3259" t="str">
            <v>D</v>
          </cell>
          <cell r="C3259">
            <v>73.83</v>
          </cell>
        </row>
        <row r="3260">
          <cell r="A3260" t="str">
            <v>LFP5084</v>
          </cell>
          <cell r="B3260" t="str">
            <v>D</v>
          </cell>
          <cell r="C3260">
            <v>40.380000000000003</v>
          </cell>
        </row>
        <row r="3261">
          <cell r="A3261" t="str">
            <v>L5086F</v>
          </cell>
          <cell r="B3261" t="str">
            <v>B</v>
          </cell>
          <cell r="C3261">
            <v>77.45</v>
          </cell>
        </row>
        <row r="3262">
          <cell r="A3262" t="str">
            <v>L5087F</v>
          </cell>
          <cell r="B3262" t="str">
            <v>N</v>
          </cell>
          <cell r="C3262">
            <v>63.17</v>
          </cell>
        </row>
        <row r="3263">
          <cell r="A3263" t="str">
            <v>LFF5088</v>
          </cell>
          <cell r="B3263" t="str">
            <v>N</v>
          </cell>
          <cell r="C3263">
            <v>25.62</v>
          </cell>
        </row>
        <row r="3264">
          <cell r="A3264" t="str">
            <v>LFF5089</v>
          </cell>
          <cell r="B3264" t="str">
            <v>N</v>
          </cell>
          <cell r="C3264">
            <v>29.95</v>
          </cell>
        </row>
        <row r="3265">
          <cell r="A3265" t="str">
            <v>LP5090</v>
          </cell>
          <cell r="B3265" t="str">
            <v>B</v>
          </cell>
          <cell r="C3265">
            <v>35.71</v>
          </cell>
        </row>
        <row r="3266">
          <cell r="A3266" t="str">
            <v>L5091F</v>
          </cell>
          <cell r="B3266" t="str">
            <v>A</v>
          </cell>
          <cell r="C3266">
            <v>71.3</v>
          </cell>
        </row>
        <row r="3267">
          <cell r="A3267" t="str">
            <v>L5092F</v>
          </cell>
          <cell r="B3267" t="str">
            <v>N</v>
          </cell>
          <cell r="C3267">
            <v>73.28</v>
          </cell>
        </row>
        <row r="3268">
          <cell r="A3268">
            <v>5094</v>
          </cell>
          <cell r="B3268" t="str">
            <v>D</v>
          </cell>
          <cell r="C3268">
            <v>559.79</v>
          </cell>
        </row>
        <row r="3269">
          <cell r="A3269" t="str">
            <v>L5094F</v>
          </cell>
          <cell r="B3269" t="str">
            <v>N</v>
          </cell>
          <cell r="C3269">
            <v>59.45</v>
          </cell>
        </row>
        <row r="3270">
          <cell r="A3270" t="str">
            <v>L5098F</v>
          </cell>
          <cell r="B3270" t="str">
            <v>N</v>
          </cell>
          <cell r="C3270">
            <v>39.49</v>
          </cell>
        </row>
        <row r="3271">
          <cell r="A3271" t="str">
            <v>AF5099</v>
          </cell>
          <cell r="B3271" t="str">
            <v>D</v>
          </cell>
          <cell r="C3271">
            <v>16.98</v>
          </cell>
        </row>
        <row r="3272">
          <cell r="A3272" t="str">
            <v>LP5100</v>
          </cell>
          <cell r="B3272" t="str">
            <v>D</v>
          </cell>
          <cell r="C3272">
            <v>22.31</v>
          </cell>
        </row>
        <row r="3273">
          <cell r="A3273" t="str">
            <v>L5104F</v>
          </cell>
          <cell r="B3273" t="str">
            <v>N</v>
          </cell>
          <cell r="C3273">
            <v>107.47</v>
          </cell>
        </row>
        <row r="3274">
          <cell r="A3274" t="str">
            <v>LAF5114MXM</v>
          </cell>
          <cell r="B3274" t="str">
            <v>N</v>
          </cell>
          <cell r="C3274">
            <v>74.599999999999994</v>
          </cell>
        </row>
        <row r="3275">
          <cell r="A3275">
            <v>5118</v>
          </cell>
          <cell r="B3275" t="str">
            <v>D</v>
          </cell>
          <cell r="C3275">
            <v>846.07</v>
          </cell>
        </row>
        <row r="3276">
          <cell r="A3276" t="str">
            <v>LFP5120B</v>
          </cell>
          <cell r="B3276" t="str">
            <v>D</v>
          </cell>
          <cell r="C3276">
            <v>18.59</v>
          </cell>
        </row>
        <row r="3277">
          <cell r="A3277" t="str">
            <v>LFF5127</v>
          </cell>
          <cell r="B3277" t="str">
            <v>C</v>
          </cell>
          <cell r="C3277">
            <v>21.9</v>
          </cell>
        </row>
        <row r="3278">
          <cell r="A3278" t="str">
            <v>LFW5141</v>
          </cell>
          <cell r="B3278" t="str">
            <v>C</v>
          </cell>
          <cell r="C3278">
            <v>24.3</v>
          </cell>
        </row>
        <row r="3279">
          <cell r="A3279" t="str">
            <v>LFW5141XL</v>
          </cell>
          <cell r="B3279" t="str">
            <v>D</v>
          </cell>
          <cell r="C3279">
            <v>34.56</v>
          </cell>
        </row>
        <row r="3280">
          <cell r="A3280" t="str">
            <v>LFW5142XL</v>
          </cell>
          <cell r="B3280" t="str">
            <v>D</v>
          </cell>
          <cell r="C3280">
            <v>40.43</v>
          </cell>
        </row>
        <row r="3281">
          <cell r="A3281">
            <v>5153</v>
          </cell>
          <cell r="B3281" t="str">
            <v>D</v>
          </cell>
          <cell r="C3281">
            <v>470.32</v>
          </cell>
        </row>
        <row r="3282">
          <cell r="A3282" t="str">
            <v>LAF5154</v>
          </cell>
          <cell r="B3282" t="str">
            <v>D</v>
          </cell>
          <cell r="C3282">
            <v>49.93</v>
          </cell>
        </row>
        <row r="3283">
          <cell r="A3283" t="str">
            <v>LH5181V</v>
          </cell>
          <cell r="B3283" t="str">
            <v>N</v>
          </cell>
          <cell r="C3283">
            <v>30.46</v>
          </cell>
        </row>
        <row r="3284">
          <cell r="A3284" t="str">
            <v>AF5184</v>
          </cell>
          <cell r="B3284" t="str">
            <v>N</v>
          </cell>
          <cell r="C3284">
            <v>32.06</v>
          </cell>
        </row>
        <row r="3285">
          <cell r="A3285" t="str">
            <v>AF5185</v>
          </cell>
          <cell r="B3285" t="str">
            <v>A</v>
          </cell>
          <cell r="C3285">
            <v>13.67</v>
          </cell>
        </row>
        <row r="3286">
          <cell r="A3286" t="str">
            <v>AF5186</v>
          </cell>
          <cell r="B3286" t="str">
            <v>N</v>
          </cell>
          <cell r="C3286">
            <v>16.73</v>
          </cell>
        </row>
        <row r="3287">
          <cell r="A3287" t="str">
            <v>AF5187</v>
          </cell>
          <cell r="B3287" t="str">
            <v>A</v>
          </cell>
          <cell r="C3287">
            <v>14.62</v>
          </cell>
        </row>
        <row r="3288">
          <cell r="A3288" t="str">
            <v>AF5189</v>
          </cell>
          <cell r="B3288" t="str">
            <v>N</v>
          </cell>
          <cell r="C3288">
            <v>19.510000000000002</v>
          </cell>
        </row>
        <row r="3289">
          <cell r="A3289" t="str">
            <v>AF5190</v>
          </cell>
          <cell r="B3289" t="str">
            <v>B</v>
          </cell>
          <cell r="C3289">
            <v>16.82</v>
          </cell>
        </row>
        <row r="3290">
          <cell r="A3290" t="str">
            <v>AF5191</v>
          </cell>
          <cell r="B3290" t="str">
            <v>D</v>
          </cell>
          <cell r="C3290">
            <v>27.72</v>
          </cell>
        </row>
        <row r="3291">
          <cell r="A3291" t="str">
            <v>AF5192</v>
          </cell>
          <cell r="B3291" t="str">
            <v>N</v>
          </cell>
          <cell r="C3291">
            <v>48.55</v>
          </cell>
        </row>
        <row r="3292">
          <cell r="A3292" t="str">
            <v>AF5193</v>
          </cell>
          <cell r="B3292" t="str">
            <v>N</v>
          </cell>
          <cell r="C3292">
            <v>56.55</v>
          </cell>
        </row>
        <row r="3293">
          <cell r="A3293" t="str">
            <v>AF5195</v>
          </cell>
          <cell r="B3293" t="str">
            <v>N</v>
          </cell>
          <cell r="C3293">
            <v>31.14</v>
          </cell>
        </row>
        <row r="3294">
          <cell r="A3294" t="str">
            <v>AF5196</v>
          </cell>
          <cell r="B3294" t="str">
            <v>D</v>
          </cell>
          <cell r="C3294">
            <v>16.03</v>
          </cell>
        </row>
        <row r="3295">
          <cell r="A3295" t="str">
            <v>AF5197</v>
          </cell>
          <cell r="B3295" t="str">
            <v>N</v>
          </cell>
          <cell r="C3295">
            <v>24.63</v>
          </cell>
        </row>
        <row r="3296">
          <cell r="A3296" t="str">
            <v>AF5198</v>
          </cell>
          <cell r="B3296" t="str">
            <v>N</v>
          </cell>
          <cell r="C3296">
            <v>23.34</v>
          </cell>
        </row>
        <row r="3297">
          <cell r="A3297" t="str">
            <v>AF5199</v>
          </cell>
          <cell r="B3297" t="str">
            <v>N</v>
          </cell>
          <cell r="C3297">
            <v>17.68</v>
          </cell>
        </row>
        <row r="3298">
          <cell r="A3298" t="str">
            <v>AF5200</v>
          </cell>
          <cell r="B3298" t="str">
            <v>D</v>
          </cell>
          <cell r="C3298">
            <v>10.76</v>
          </cell>
        </row>
        <row r="3299">
          <cell r="A3299" t="str">
            <v>AF5201</v>
          </cell>
          <cell r="B3299" t="str">
            <v>N</v>
          </cell>
          <cell r="C3299">
            <v>23.94</v>
          </cell>
        </row>
        <row r="3300">
          <cell r="A3300" t="str">
            <v>AF5203</v>
          </cell>
          <cell r="B3300" t="str">
            <v>N</v>
          </cell>
          <cell r="C3300">
            <v>25.38</v>
          </cell>
        </row>
        <row r="3301">
          <cell r="A3301" t="str">
            <v>AF5204</v>
          </cell>
          <cell r="B3301" t="str">
            <v>N</v>
          </cell>
          <cell r="C3301">
            <v>15.73</v>
          </cell>
        </row>
        <row r="3302">
          <cell r="A3302" t="str">
            <v>AF5205</v>
          </cell>
          <cell r="B3302" t="str">
            <v>N</v>
          </cell>
          <cell r="C3302">
            <v>24.93</v>
          </cell>
        </row>
        <row r="3303">
          <cell r="A3303" t="str">
            <v>AF5206</v>
          </cell>
          <cell r="B3303" t="str">
            <v>N</v>
          </cell>
          <cell r="C3303">
            <v>11.53</v>
          </cell>
        </row>
        <row r="3304">
          <cell r="A3304" t="str">
            <v>AF5207</v>
          </cell>
          <cell r="B3304" t="str">
            <v>N</v>
          </cell>
          <cell r="C3304">
            <v>11.22</v>
          </cell>
        </row>
        <row r="3305">
          <cell r="A3305" t="str">
            <v>AF5208</v>
          </cell>
          <cell r="B3305" t="str">
            <v>N</v>
          </cell>
          <cell r="C3305">
            <v>13.72</v>
          </cell>
        </row>
        <row r="3306">
          <cell r="A3306" t="str">
            <v>AF5209</v>
          </cell>
          <cell r="B3306" t="str">
            <v>N</v>
          </cell>
          <cell r="C3306">
            <v>24.83</v>
          </cell>
        </row>
        <row r="3307">
          <cell r="A3307" t="str">
            <v>AF5210</v>
          </cell>
          <cell r="B3307" t="str">
            <v>N</v>
          </cell>
          <cell r="C3307">
            <v>20.11</v>
          </cell>
        </row>
        <row r="3308">
          <cell r="A3308" t="str">
            <v>AF5211</v>
          </cell>
          <cell r="B3308" t="str">
            <v>N</v>
          </cell>
          <cell r="C3308">
            <v>16.11</v>
          </cell>
        </row>
        <row r="3309">
          <cell r="A3309" t="str">
            <v>AF5213</v>
          </cell>
          <cell r="B3309" t="str">
            <v>N</v>
          </cell>
          <cell r="C3309">
            <v>16.07</v>
          </cell>
        </row>
        <row r="3310">
          <cell r="A3310" t="str">
            <v>LFP5214</v>
          </cell>
          <cell r="B3310" t="str">
            <v>D</v>
          </cell>
          <cell r="C3310">
            <v>77.56</v>
          </cell>
        </row>
        <row r="3311">
          <cell r="A3311" t="str">
            <v>AF5215</v>
          </cell>
          <cell r="B3311" t="str">
            <v>N</v>
          </cell>
          <cell r="C3311">
            <v>17.670000000000002</v>
          </cell>
        </row>
        <row r="3312">
          <cell r="A3312">
            <v>5216</v>
          </cell>
          <cell r="B3312" t="str">
            <v>D</v>
          </cell>
          <cell r="C3312">
            <v>378.26</v>
          </cell>
        </row>
        <row r="3313">
          <cell r="A3313" t="str">
            <v>AF5216</v>
          </cell>
          <cell r="B3313" t="str">
            <v>N</v>
          </cell>
          <cell r="C3313">
            <v>5.0999999999999996</v>
          </cell>
        </row>
        <row r="3314">
          <cell r="A3314" t="str">
            <v>AF5217</v>
          </cell>
          <cell r="B3314" t="str">
            <v>N</v>
          </cell>
          <cell r="C3314">
            <v>17.39</v>
          </cell>
        </row>
        <row r="3315">
          <cell r="A3315" t="str">
            <v>AF5218</v>
          </cell>
          <cell r="B3315" t="str">
            <v>N</v>
          </cell>
          <cell r="C3315">
            <v>18.14</v>
          </cell>
        </row>
        <row r="3316">
          <cell r="A3316" t="str">
            <v>AF5219</v>
          </cell>
          <cell r="B3316" t="str">
            <v>N</v>
          </cell>
          <cell r="C3316">
            <v>15.16</v>
          </cell>
        </row>
        <row r="3317">
          <cell r="A3317" t="str">
            <v>LFF5226</v>
          </cell>
          <cell r="B3317" t="str">
            <v>D</v>
          </cell>
          <cell r="C3317">
            <v>40</v>
          </cell>
        </row>
        <row r="3318">
          <cell r="A3318" t="str">
            <v>LAF5228</v>
          </cell>
          <cell r="B3318" t="str">
            <v>D</v>
          </cell>
          <cell r="C3318">
            <v>110.62</v>
          </cell>
        </row>
        <row r="3319">
          <cell r="A3319">
            <v>5234</v>
          </cell>
          <cell r="B3319" t="str">
            <v>B</v>
          </cell>
          <cell r="C3319">
            <v>482.95</v>
          </cell>
        </row>
        <row r="3320">
          <cell r="A3320" t="str">
            <v>LAF5238</v>
          </cell>
          <cell r="B3320" t="str">
            <v>D</v>
          </cell>
          <cell r="C3320">
            <v>198.59</v>
          </cell>
        </row>
        <row r="3321">
          <cell r="A3321" t="str">
            <v>LAF5255</v>
          </cell>
          <cell r="B3321" t="str">
            <v>D</v>
          </cell>
          <cell r="C3321">
            <v>48.27</v>
          </cell>
        </row>
        <row r="3322">
          <cell r="A3322" t="str">
            <v>LAF5298</v>
          </cell>
          <cell r="B3322" t="str">
            <v>N</v>
          </cell>
          <cell r="C3322">
            <v>98.57</v>
          </cell>
        </row>
        <row r="3323">
          <cell r="A3323" t="str">
            <v>LAF5300</v>
          </cell>
          <cell r="B3323" t="str">
            <v>N</v>
          </cell>
          <cell r="C3323">
            <v>40.56</v>
          </cell>
        </row>
        <row r="3324">
          <cell r="A3324" t="str">
            <v>LAF5314</v>
          </cell>
          <cell r="B3324" t="str">
            <v>D</v>
          </cell>
          <cell r="C3324">
            <v>18.07</v>
          </cell>
        </row>
        <row r="3325">
          <cell r="A3325" t="str">
            <v>LFF5322</v>
          </cell>
          <cell r="B3325" t="str">
            <v>C</v>
          </cell>
          <cell r="C3325">
            <v>22.4</v>
          </cell>
        </row>
        <row r="3326">
          <cell r="A3326" t="str">
            <v>LFH5323</v>
          </cell>
          <cell r="B3326" t="str">
            <v>N</v>
          </cell>
          <cell r="C3326">
            <v>10.64</v>
          </cell>
        </row>
        <row r="3327">
          <cell r="A3327" t="str">
            <v>LAF5325</v>
          </cell>
          <cell r="B3327" t="str">
            <v>D</v>
          </cell>
          <cell r="C3327">
            <v>14.26</v>
          </cell>
        </row>
        <row r="3328">
          <cell r="A3328" t="str">
            <v>LAF5327</v>
          </cell>
          <cell r="B3328" t="str">
            <v>N</v>
          </cell>
          <cell r="C3328">
            <v>16.62</v>
          </cell>
        </row>
        <row r="3329">
          <cell r="A3329" t="str">
            <v>LAF5343</v>
          </cell>
          <cell r="B3329" t="str">
            <v>D</v>
          </cell>
          <cell r="C3329">
            <v>30.84</v>
          </cell>
        </row>
        <row r="3330">
          <cell r="A3330" t="str">
            <v>LAF5354</v>
          </cell>
          <cell r="B3330" t="str">
            <v>N</v>
          </cell>
          <cell r="C3330">
            <v>74.23</v>
          </cell>
        </row>
        <row r="3331">
          <cell r="A3331" t="str">
            <v>LFF5357</v>
          </cell>
          <cell r="B3331" t="str">
            <v>N</v>
          </cell>
          <cell r="C3331">
            <v>59.95</v>
          </cell>
        </row>
        <row r="3332">
          <cell r="A3332" t="str">
            <v>LAF5360</v>
          </cell>
          <cell r="B3332" t="str">
            <v>D</v>
          </cell>
          <cell r="C3332">
            <v>43.37</v>
          </cell>
        </row>
        <row r="3333">
          <cell r="A3333" t="str">
            <v>LH5374</v>
          </cell>
          <cell r="B3333" t="str">
            <v>D</v>
          </cell>
          <cell r="C3333">
            <v>21.12</v>
          </cell>
        </row>
        <row r="3334">
          <cell r="A3334" t="str">
            <v>LFP5375</v>
          </cell>
          <cell r="B3334" t="str">
            <v>D</v>
          </cell>
          <cell r="C3334">
            <v>75.319999999999993</v>
          </cell>
        </row>
        <row r="3335">
          <cell r="A3335" t="str">
            <v>LFF5406</v>
          </cell>
          <cell r="B3335" t="str">
            <v>D</v>
          </cell>
          <cell r="C3335">
            <v>26.5</v>
          </cell>
        </row>
        <row r="3336">
          <cell r="A3336">
            <v>5411</v>
          </cell>
          <cell r="B3336" t="str">
            <v>D</v>
          </cell>
          <cell r="C3336">
            <v>504.67</v>
          </cell>
        </row>
        <row r="3337">
          <cell r="A3337" t="str">
            <v>LAF5416</v>
          </cell>
          <cell r="B3337" t="str">
            <v>N</v>
          </cell>
          <cell r="C3337">
            <v>50.06</v>
          </cell>
        </row>
        <row r="3338">
          <cell r="A3338" t="str">
            <v>LFF5421</v>
          </cell>
          <cell r="B3338" t="str">
            <v>B</v>
          </cell>
          <cell r="C3338">
            <v>28.91</v>
          </cell>
        </row>
        <row r="3339">
          <cell r="A3339" t="str">
            <v>LFF5423</v>
          </cell>
          <cell r="B3339" t="str">
            <v>D</v>
          </cell>
          <cell r="C3339">
            <v>35.51</v>
          </cell>
        </row>
        <row r="3340">
          <cell r="A3340" t="str">
            <v>LAF5429</v>
          </cell>
          <cell r="B3340" t="str">
            <v>N</v>
          </cell>
          <cell r="C3340">
            <v>52.13</v>
          </cell>
        </row>
        <row r="3341">
          <cell r="A3341" t="str">
            <v>LAF5430</v>
          </cell>
          <cell r="B3341" t="str">
            <v>N</v>
          </cell>
          <cell r="C3341">
            <v>31.98</v>
          </cell>
        </row>
        <row r="3342">
          <cell r="A3342" t="str">
            <v>LAF5439</v>
          </cell>
          <cell r="B3342" t="str">
            <v>D</v>
          </cell>
          <cell r="C3342">
            <v>47.29</v>
          </cell>
        </row>
        <row r="3343">
          <cell r="A3343" t="str">
            <v>LAF5452</v>
          </cell>
          <cell r="B3343" t="str">
            <v>D</v>
          </cell>
          <cell r="C3343">
            <v>477.66</v>
          </cell>
        </row>
        <row r="3344">
          <cell r="A3344" t="str">
            <v>LAF5452W</v>
          </cell>
          <cell r="B3344" t="str">
            <v>N</v>
          </cell>
          <cell r="C3344">
            <v>40.86</v>
          </cell>
        </row>
        <row r="3345">
          <cell r="A3345" t="str">
            <v>LAF5453</v>
          </cell>
          <cell r="B3345" t="str">
            <v>N</v>
          </cell>
          <cell r="C3345">
            <v>89.51</v>
          </cell>
        </row>
        <row r="3346">
          <cell r="A3346" t="str">
            <v>LAF5454</v>
          </cell>
          <cell r="B3346" t="str">
            <v>N</v>
          </cell>
          <cell r="C3346">
            <v>47.69</v>
          </cell>
        </row>
        <row r="3347">
          <cell r="A3347" t="str">
            <v>LH5461</v>
          </cell>
          <cell r="B3347" t="str">
            <v>B</v>
          </cell>
          <cell r="C3347">
            <v>20.79</v>
          </cell>
        </row>
        <row r="3348">
          <cell r="A3348" t="str">
            <v>L5467F</v>
          </cell>
          <cell r="B3348" t="str">
            <v>A</v>
          </cell>
          <cell r="C3348">
            <v>18.84</v>
          </cell>
        </row>
        <row r="3349">
          <cell r="A3349" t="str">
            <v>L5467FNXL</v>
          </cell>
          <cell r="B3349" t="str">
            <v>A</v>
          </cell>
          <cell r="C3349">
            <v>23.72</v>
          </cell>
        </row>
        <row r="3350">
          <cell r="A3350" t="str">
            <v>LAF5474</v>
          </cell>
          <cell r="B3350" t="str">
            <v>D</v>
          </cell>
          <cell r="C3350">
            <v>39.33</v>
          </cell>
        </row>
        <row r="3351">
          <cell r="A3351">
            <v>5475</v>
          </cell>
          <cell r="B3351" t="str">
            <v>D</v>
          </cell>
          <cell r="C3351">
            <v>39.520000000000003</v>
          </cell>
        </row>
        <row r="3352">
          <cell r="A3352" t="str">
            <v>LAF5475</v>
          </cell>
          <cell r="B3352" t="str">
            <v>D</v>
          </cell>
          <cell r="C3352">
            <v>41.06</v>
          </cell>
        </row>
        <row r="3353">
          <cell r="A3353" t="str">
            <v>LAF5482</v>
          </cell>
          <cell r="B3353" t="str">
            <v>N</v>
          </cell>
          <cell r="C3353">
            <v>23.83</v>
          </cell>
        </row>
        <row r="3354">
          <cell r="A3354" t="str">
            <v>LFF5485</v>
          </cell>
          <cell r="B3354" t="str">
            <v>C</v>
          </cell>
          <cell r="C3354">
            <v>22.64</v>
          </cell>
        </row>
        <row r="3355">
          <cell r="A3355" t="str">
            <v>LFF5488</v>
          </cell>
          <cell r="B3355" t="str">
            <v>A</v>
          </cell>
          <cell r="C3355">
            <v>14.85</v>
          </cell>
        </row>
        <row r="3356">
          <cell r="A3356">
            <v>5502</v>
          </cell>
          <cell r="B3356" t="str">
            <v>D</v>
          </cell>
          <cell r="C3356">
            <v>533.35</v>
          </cell>
        </row>
        <row r="3357">
          <cell r="A3357">
            <v>5507</v>
          </cell>
          <cell r="B3357" t="str">
            <v>D</v>
          </cell>
          <cell r="C3357">
            <v>543.88</v>
          </cell>
        </row>
        <row r="3358">
          <cell r="A3358" t="str">
            <v>LFF5510</v>
          </cell>
          <cell r="B3358" t="str">
            <v>D</v>
          </cell>
          <cell r="C3358">
            <v>11.02</v>
          </cell>
        </row>
        <row r="3359">
          <cell r="A3359" t="str">
            <v>LFF5510-30</v>
          </cell>
          <cell r="B3359" t="str">
            <v>D</v>
          </cell>
          <cell r="C3359">
            <v>11.49</v>
          </cell>
        </row>
        <row r="3360">
          <cell r="A3360" t="str">
            <v>LAF5516</v>
          </cell>
          <cell r="B3360" t="str">
            <v>D</v>
          </cell>
          <cell r="C3360">
            <v>43.23</v>
          </cell>
        </row>
        <row r="3361">
          <cell r="A3361" t="str">
            <v>LAF5518</v>
          </cell>
          <cell r="B3361" t="str">
            <v>D</v>
          </cell>
          <cell r="C3361">
            <v>113.59</v>
          </cell>
        </row>
        <row r="3362">
          <cell r="A3362" t="str">
            <v>LAF5519</v>
          </cell>
          <cell r="B3362" t="str">
            <v>D</v>
          </cell>
          <cell r="C3362">
            <v>18.71</v>
          </cell>
        </row>
        <row r="3363">
          <cell r="A3363" t="str">
            <v>LFP5522</v>
          </cell>
          <cell r="B3363" t="str">
            <v>D</v>
          </cell>
          <cell r="C3363">
            <v>8.85</v>
          </cell>
        </row>
        <row r="3364">
          <cell r="A3364" t="str">
            <v>LAF5526</v>
          </cell>
          <cell r="B3364" t="str">
            <v>D</v>
          </cell>
          <cell r="C3364">
            <v>67.16</v>
          </cell>
        </row>
        <row r="3365">
          <cell r="A3365">
            <v>5539</v>
          </cell>
          <cell r="B3365" t="str">
            <v>D</v>
          </cell>
          <cell r="C3365">
            <v>32.020000000000003</v>
          </cell>
        </row>
        <row r="3366">
          <cell r="A3366">
            <v>5554</v>
          </cell>
          <cell r="B3366" t="str">
            <v>D</v>
          </cell>
          <cell r="C3366">
            <v>171.88</v>
          </cell>
        </row>
        <row r="3367">
          <cell r="A3367">
            <v>5555</v>
          </cell>
          <cell r="B3367" t="str">
            <v>D</v>
          </cell>
          <cell r="C3367">
            <v>199.97</v>
          </cell>
        </row>
        <row r="3368">
          <cell r="A3368" t="str">
            <v>LAF5562</v>
          </cell>
          <cell r="B3368" t="str">
            <v>D</v>
          </cell>
          <cell r="C3368">
            <v>53.42</v>
          </cell>
        </row>
        <row r="3369">
          <cell r="A3369" t="str">
            <v>LP5563</v>
          </cell>
          <cell r="B3369" t="str">
            <v>D</v>
          </cell>
          <cell r="C3369">
            <v>4.46</v>
          </cell>
        </row>
        <row r="3370">
          <cell r="A3370">
            <v>5564</v>
          </cell>
          <cell r="B3370" t="str">
            <v>D</v>
          </cell>
          <cell r="C3370">
            <v>179.26</v>
          </cell>
        </row>
        <row r="3371">
          <cell r="A3371" t="str">
            <v>LP5564</v>
          </cell>
          <cell r="B3371" t="str">
            <v>D</v>
          </cell>
          <cell r="C3371">
            <v>3.96</v>
          </cell>
        </row>
        <row r="3372">
          <cell r="A3372" t="str">
            <v>LP5565</v>
          </cell>
          <cell r="B3372" t="str">
            <v>D</v>
          </cell>
          <cell r="C3372">
            <v>6.66</v>
          </cell>
        </row>
        <row r="3373">
          <cell r="A3373">
            <v>5567</v>
          </cell>
          <cell r="B3373" t="str">
            <v>D</v>
          </cell>
          <cell r="C3373">
            <v>4.9000000000000004</v>
          </cell>
        </row>
        <row r="3374">
          <cell r="A3374" t="str">
            <v>LAF5568</v>
          </cell>
          <cell r="B3374" t="str">
            <v>D</v>
          </cell>
          <cell r="C3374">
            <v>96.88</v>
          </cell>
        </row>
        <row r="3375">
          <cell r="A3375" t="str">
            <v>LAF5569</v>
          </cell>
          <cell r="B3375" t="str">
            <v>D</v>
          </cell>
          <cell r="C3375">
            <v>76.92</v>
          </cell>
        </row>
        <row r="3376">
          <cell r="A3376" t="str">
            <v>LFP5570</v>
          </cell>
          <cell r="B3376" t="str">
            <v>A</v>
          </cell>
          <cell r="C3376">
            <v>6.44</v>
          </cell>
        </row>
        <row r="3377">
          <cell r="A3377" t="str">
            <v>LH5571G</v>
          </cell>
          <cell r="B3377" t="str">
            <v>N</v>
          </cell>
          <cell r="C3377">
            <v>62.31</v>
          </cell>
        </row>
        <row r="3378">
          <cell r="A3378" t="str">
            <v>LAF5572</v>
          </cell>
          <cell r="B3378" t="str">
            <v>B</v>
          </cell>
          <cell r="C3378">
            <v>14.22</v>
          </cell>
        </row>
        <row r="3379">
          <cell r="A3379" t="str">
            <v>LAF5575</v>
          </cell>
          <cell r="B3379" t="str">
            <v>D</v>
          </cell>
          <cell r="C3379">
            <v>21.53</v>
          </cell>
        </row>
        <row r="3380">
          <cell r="A3380" t="str">
            <v>LP5578</v>
          </cell>
          <cell r="B3380" t="str">
            <v>D</v>
          </cell>
          <cell r="C3380">
            <v>20.49</v>
          </cell>
        </row>
        <row r="3381">
          <cell r="A3381" t="str">
            <v>AF5585</v>
          </cell>
          <cell r="B3381" t="str">
            <v>D</v>
          </cell>
          <cell r="C3381">
            <v>9.2899999999999991</v>
          </cell>
        </row>
        <row r="3382">
          <cell r="A3382" t="str">
            <v>AF5586</v>
          </cell>
          <cell r="B3382" t="str">
            <v>D</v>
          </cell>
          <cell r="C3382">
            <v>6.81</v>
          </cell>
        </row>
        <row r="3383">
          <cell r="A3383" t="str">
            <v>LAF5589</v>
          </cell>
          <cell r="B3383" t="str">
            <v>D</v>
          </cell>
          <cell r="C3383">
            <v>28.55</v>
          </cell>
        </row>
        <row r="3384">
          <cell r="A3384" t="str">
            <v>LAF5590</v>
          </cell>
          <cell r="B3384" t="str">
            <v>B</v>
          </cell>
          <cell r="C3384">
            <v>19</v>
          </cell>
        </row>
        <row r="3385">
          <cell r="A3385" t="str">
            <v>LP5597</v>
          </cell>
          <cell r="B3385" t="str">
            <v>D</v>
          </cell>
          <cell r="C3385">
            <v>5.32</v>
          </cell>
        </row>
        <row r="3386">
          <cell r="A3386" t="str">
            <v>LAF5598</v>
          </cell>
          <cell r="B3386" t="str">
            <v>C</v>
          </cell>
          <cell r="C3386">
            <v>14.98</v>
          </cell>
        </row>
        <row r="3387">
          <cell r="A3387" t="str">
            <v>LAF5604</v>
          </cell>
          <cell r="B3387" t="str">
            <v>N</v>
          </cell>
          <cell r="C3387">
            <v>23.78</v>
          </cell>
        </row>
        <row r="3388">
          <cell r="A3388" t="str">
            <v>P5609</v>
          </cell>
          <cell r="B3388" t="str">
            <v>D</v>
          </cell>
          <cell r="C3388">
            <v>5.44</v>
          </cell>
        </row>
        <row r="3389">
          <cell r="A3389" t="str">
            <v>AF5612</v>
          </cell>
          <cell r="B3389" t="str">
            <v>D</v>
          </cell>
          <cell r="C3389">
            <v>22.5</v>
          </cell>
        </row>
        <row r="3390">
          <cell r="A3390" t="str">
            <v>LAF5614</v>
          </cell>
          <cell r="B3390" t="str">
            <v>D</v>
          </cell>
          <cell r="C3390">
            <v>92.51</v>
          </cell>
        </row>
        <row r="3391">
          <cell r="A3391" t="str">
            <v>LAF5615</v>
          </cell>
          <cell r="B3391" t="str">
            <v>D</v>
          </cell>
          <cell r="C3391">
            <v>47.15</v>
          </cell>
        </row>
        <row r="3392">
          <cell r="A3392">
            <v>5620</v>
          </cell>
          <cell r="B3392" t="str">
            <v>D</v>
          </cell>
          <cell r="C3392">
            <v>59.63</v>
          </cell>
        </row>
        <row r="3393">
          <cell r="A3393">
            <v>5621</v>
          </cell>
          <cell r="B3393" t="str">
            <v>D</v>
          </cell>
          <cell r="C3393">
            <v>35.369999999999997</v>
          </cell>
        </row>
        <row r="3394">
          <cell r="A3394">
            <v>5622</v>
          </cell>
          <cell r="B3394" t="str">
            <v>D</v>
          </cell>
          <cell r="C3394">
            <v>60.1</v>
          </cell>
        </row>
        <row r="3395">
          <cell r="A3395">
            <v>5623</v>
          </cell>
          <cell r="B3395" t="str">
            <v>D</v>
          </cell>
          <cell r="C3395">
            <v>68.05</v>
          </cell>
        </row>
        <row r="3396">
          <cell r="A3396">
            <v>5625</v>
          </cell>
          <cell r="B3396" t="str">
            <v>D</v>
          </cell>
          <cell r="C3396">
            <v>3.88</v>
          </cell>
        </row>
        <row r="3397">
          <cell r="A3397" t="str">
            <v>LFF5632</v>
          </cell>
          <cell r="B3397" t="str">
            <v>B</v>
          </cell>
          <cell r="C3397">
            <v>27.44</v>
          </cell>
        </row>
        <row r="3398">
          <cell r="A3398" t="str">
            <v>LAF5633</v>
          </cell>
          <cell r="B3398" t="str">
            <v>D</v>
          </cell>
          <cell r="C3398">
            <v>54.62</v>
          </cell>
        </row>
        <row r="3399">
          <cell r="A3399" t="str">
            <v>LFF5644</v>
          </cell>
          <cell r="B3399" t="str">
            <v>N</v>
          </cell>
          <cell r="C3399">
            <v>92.94</v>
          </cell>
        </row>
        <row r="3400">
          <cell r="A3400" t="str">
            <v>LFF5645</v>
          </cell>
          <cell r="B3400" t="str">
            <v>N</v>
          </cell>
          <cell r="C3400">
            <v>13</v>
          </cell>
        </row>
        <row r="3401">
          <cell r="A3401" t="str">
            <v>LFH5659</v>
          </cell>
          <cell r="B3401" t="str">
            <v>A</v>
          </cell>
          <cell r="C3401">
            <v>91.73</v>
          </cell>
        </row>
        <row r="3402">
          <cell r="A3402" t="str">
            <v>LFF5686</v>
          </cell>
          <cell r="B3402" t="str">
            <v>N</v>
          </cell>
          <cell r="C3402">
            <v>58.03</v>
          </cell>
        </row>
        <row r="3403">
          <cell r="A3403" t="str">
            <v>LFF5684</v>
          </cell>
          <cell r="B3403" t="str">
            <v>D</v>
          </cell>
          <cell r="C3403">
            <v>44.01</v>
          </cell>
        </row>
        <row r="3404">
          <cell r="A3404" t="str">
            <v>AF5694</v>
          </cell>
          <cell r="B3404" t="str">
            <v>D</v>
          </cell>
          <cell r="C3404">
            <v>87.93</v>
          </cell>
        </row>
        <row r="3405">
          <cell r="A3405" t="str">
            <v>AF5698</v>
          </cell>
          <cell r="B3405" t="str">
            <v>N</v>
          </cell>
          <cell r="C3405">
            <v>21.48</v>
          </cell>
        </row>
        <row r="3406">
          <cell r="A3406" t="str">
            <v>AF5699</v>
          </cell>
          <cell r="B3406" t="str">
            <v>N</v>
          </cell>
          <cell r="C3406">
            <v>40.840000000000003</v>
          </cell>
        </row>
        <row r="3407">
          <cell r="A3407" t="str">
            <v>LAF5716</v>
          </cell>
          <cell r="B3407" t="str">
            <v>D</v>
          </cell>
          <cell r="C3407">
            <v>16.440000000000001</v>
          </cell>
        </row>
        <row r="3408">
          <cell r="A3408" t="str">
            <v>LH5719</v>
          </cell>
          <cell r="B3408" t="str">
            <v>D</v>
          </cell>
          <cell r="C3408">
            <v>14.91</v>
          </cell>
        </row>
        <row r="3409">
          <cell r="A3409" t="str">
            <v>LAF5720</v>
          </cell>
          <cell r="B3409" t="str">
            <v>D</v>
          </cell>
          <cell r="C3409">
            <v>62.04</v>
          </cell>
        </row>
        <row r="3410">
          <cell r="A3410" t="str">
            <v>LFH5721</v>
          </cell>
          <cell r="B3410" t="str">
            <v>D</v>
          </cell>
          <cell r="C3410">
            <v>64.900000000000006</v>
          </cell>
        </row>
        <row r="3411">
          <cell r="A3411" t="str">
            <v>LAF5722</v>
          </cell>
          <cell r="B3411" t="str">
            <v>B</v>
          </cell>
          <cell r="C3411">
            <v>65.569999999999993</v>
          </cell>
        </row>
        <row r="3412">
          <cell r="A3412" t="str">
            <v>LFP5723</v>
          </cell>
          <cell r="B3412" t="str">
            <v>D</v>
          </cell>
          <cell r="C3412">
            <v>79.510000000000005</v>
          </cell>
        </row>
        <row r="3413">
          <cell r="A3413" t="str">
            <v>LAF5725</v>
          </cell>
          <cell r="B3413" t="str">
            <v>D</v>
          </cell>
          <cell r="C3413">
            <v>75.37</v>
          </cell>
        </row>
        <row r="3414">
          <cell r="A3414" t="str">
            <v>LP5730</v>
          </cell>
          <cell r="B3414" t="str">
            <v>N</v>
          </cell>
          <cell r="C3414">
            <v>27.82</v>
          </cell>
        </row>
        <row r="3415">
          <cell r="A3415" t="str">
            <v>LP5731</v>
          </cell>
          <cell r="B3415" t="str">
            <v>D</v>
          </cell>
          <cell r="C3415">
            <v>21.29</v>
          </cell>
        </row>
        <row r="3416">
          <cell r="A3416" t="str">
            <v>LAF5732</v>
          </cell>
          <cell r="B3416" t="str">
            <v>D</v>
          </cell>
          <cell r="C3416">
            <v>49.6</v>
          </cell>
        </row>
        <row r="3417">
          <cell r="A3417" t="str">
            <v>LAF5733</v>
          </cell>
          <cell r="B3417" t="str">
            <v>D</v>
          </cell>
          <cell r="C3417">
            <v>56.03</v>
          </cell>
        </row>
        <row r="3418">
          <cell r="A3418" t="str">
            <v>LH5739</v>
          </cell>
          <cell r="B3418" t="str">
            <v>D</v>
          </cell>
          <cell r="C3418">
            <v>24.46</v>
          </cell>
        </row>
        <row r="3419">
          <cell r="A3419" t="str">
            <v>LFF5740</v>
          </cell>
          <cell r="B3419" t="str">
            <v>D</v>
          </cell>
          <cell r="C3419">
            <v>82.09</v>
          </cell>
        </row>
        <row r="3420">
          <cell r="A3420" t="str">
            <v>LH5741</v>
          </cell>
          <cell r="B3420" t="str">
            <v>D</v>
          </cell>
          <cell r="C3420">
            <v>59.81</v>
          </cell>
        </row>
        <row r="3421">
          <cell r="A3421" t="str">
            <v>LAF5743</v>
          </cell>
          <cell r="B3421" t="str">
            <v>D</v>
          </cell>
          <cell r="C3421">
            <v>95.7</v>
          </cell>
        </row>
        <row r="3422">
          <cell r="A3422" t="str">
            <v>LAF5744</v>
          </cell>
          <cell r="B3422" t="str">
            <v>D</v>
          </cell>
          <cell r="C3422">
            <v>63.42</v>
          </cell>
        </row>
        <row r="3423">
          <cell r="A3423" t="str">
            <v>LH5746</v>
          </cell>
          <cell r="B3423" t="str">
            <v>D</v>
          </cell>
          <cell r="C3423">
            <v>21.73</v>
          </cell>
        </row>
        <row r="3424">
          <cell r="A3424" t="str">
            <v>LH5747</v>
          </cell>
          <cell r="B3424" t="str">
            <v>D</v>
          </cell>
          <cell r="C3424">
            <v>38.340000000000003</v>
          </cell>
        </row>
        <row r="3425">
          <cell r="A3425" t="str">
            <v>LFP5748</v>
          </cell>
          <cell r="B3425" t="str">
            <v>C</v>
          </cell>
          <cell r="C3425">
            <v>17.149999999999999</v>
          </cell>
        </row>
        <row r="3426">
          <cell r="A3426" t="str">
            <v>LAF5749</v>
          </cell>
          <cell r="B3426" t="str">
            <v>N</v>
          </cell>
          <cell r="C3426">
            <v>40.880000000000003</v>
          </cell>
        </row>
        <row r="3427">
          <cell r="A3427" t="str">
            <v>LAF5750</v>
          </cell>
          <cell r="B3427" t="str">
            <v>D</v>
          </cell>
          <cell r="C3427">
            <v>54.87</v>
          </cell>
        </row>
        <row r="3428">
          <cell r="A3428" t="str">
            <v>LH5751</v>
          </cell>
          <cell r="B3428" t="str">
            <v>D</v>
          </cell>
          <cell r="C3428">
            <v>53.47</v>
          </cell>
        </row>
        <row r="3429">
          <cell r="A3429" t="str">
            <v>LAF5755</v>
          </cell>
          <cell r="B3429" t="str">
            <v>D</v>
          </cell>
          <cell r="C3429">
            <v>73.38</v>
          </cell>
        </row>
        <row r="3430">
          <cell r="A3430" t="str">
            <v>LAF5756</v>
          </cell>
          <cell r="B3430" t="str">
            <v>N</v>
          </cell>
          <cell r="C3430">
            <v>14.15</v>
          </cell>
        </row>
        <row r="3431">
          <cell r="A3431" t="str">
            <v>LAF5757</v>
          </cell>
          <cell r="B3431" t="str">
            <v>D</v>
          </cell>
          <cell r="C3431">
            <v>94.13</v>
          </cell>
        </row>
        <row r="3432">
          <cell r="A3432" t="str">
            <v>LFP5757</v>
          </cell>
          <cell r="B3432" t="str">
            <v>B</v>
          </cell>
          <cell r="C3432">
            <v>13.69</v>
          </cell>
        </row>
        <row r="3433">
          <cell r="A3433" t="str">
            <v>LAF5759</v>
          </cell>
          <cell r="B3433" t="str">
            <v>D</v>
          </cell>
          <cell r="C3433">
            <v>122.3</v>
          </cell>
        </row>
        <row r="3434">
          <cell r="A3434" t="str">
            <v>LFP5760</v>
          </cell>
          <cell r="B3434" t="str">
            <v>C</v>
          </cell>
          <cell r="C3434">
            <v>36.83</v>
          </cell>
        </row>
        <row r="3435">
          <cell r="A3435" t="str">
            <v>LAF5761</v>
          </cell>
          <cell r="B3435" t="str">
            <v>B</v>
          </cell>
          <cell r="C3435">
            <v>88.78</v>
          </cell>
        </row>
        <row r="3436">
          <cell r="A3436" t="str">
            <v>LAF5762</v>
          </cell>
          <cell r="B3436" t="str">
            <v>D</v>
          </cell>
          <cell r="C3436">
            <v>75.709999999999994</v>
          </cell>
        </row>
        <row r="3437">
          <cell r="A3437" t="str">
            <v>LAF5763</v>
          </cell>
          <cell r="B3437" t="str">
            <v>D</v>
          </cell>
          <cell r="C3437">
            <v>71.05</v>
          </cell>
        </row>
        <row r="3438">
          <cell r="A3438" t="str">
            <v>LAF5764</v>
          </cell>
          <cell r="B3438" t="str">
            <v>D</v>
          </cell>
          <cell r="C3438">
            <v>39.049999999999997</v>
          </cell>
        </row>
        <row r="3439">
          <cell r="A3439" t="str">
            <v>LAF5765</v>
          </cell>
          <cell r="B3439" t="str">
            <v>D</v>
          </cell>
          <cell r="C3439">
            <v>50.69</v>
          </cell>
        </row>
        <row r="3440">
          <cell r="A3440" t="str">
            <v>LFF5766</v>
          </cell>
          <cell r="B3440" t="str">
            <v>B</v>
          </cell>
          <cell r="C3440">
            <v>46.28</v>
          </cell>
        </row>
        <row r="3441">
          <cell r="A3441" t="str">
            <v>LAF5770</v>
          </cell>
          <cell r="B3441" t="str">
            <v>D</v>
          </cell>
          <cell r="C3441">
            <v>92.26</v>
          </cell>
        </row>
        <row r="3442">
          <cell r="A3442" t="str">
            <v>LAF5771</v>
          </cell>
          <cell r="B3442" t="str">
            <v>N</v>
          </cell>
          <cell r="C3442">
            <v>26.43</v>
          </cell>
        </row>
        <row r="3443">
          <cell r="A3443" t="str">
            <v>LFP5772</v>
          </cell>
          <cell r="B3443" t="str">
            <v>D</v>
          </cell>
          <cell r="C3443">
            <v>68.16</v>
          </cell>
        </row>
        <row r="3444">
          <cell r="A3444" t="str">
            <v>LAF5773</v>
          </cell>
          <cell r="B3444" t="str">
            <v>D</v>
          </cell>
          <cell r="C3444">
            <v>46.47</v>
          </cell>
        </row>
        <row r="3445">
          <cell r="A3445" t="str">
            <v>LP5777</v>
          </cell>
          <cell r="B3445" t="str">
            <v>D</v>
          </cell>
          <cell r="C3445">
            <v>104.07</v>
          </cell>
        </row>
        <row r="3446">
          <cell r="A3446" t="str">
            <v>LFF5778</v>
          </cell>
          <cell r="B3446" t="str">
            <v>D</v>
          </cell>
          <cell r="C3446">
            <v>18.53</v>
          </cell>
        </row>
        <row r="3447">
          <cell r="A3447" t="str">
            <v>LFF5780</v>
          </cell>
          <cell r="B3447" t="str">
            <v>D</v>
          </cell>
          <cell r="C3447">
            <v>33.56</v>
          </cell>
        </row>
        <row r="3448">
          <cell r="A3448" t="str">
            <v>LAF5781</v>
          </cell>
          <cell r="B3448" t="str">
            <v>D</v>
          </cell>
          <cell r="C3448">
            <v>6.13</v>
          </cell>
        </row>
        <row r="3449">
          <cell r="A3449" t="str">
            <v>LAF5782</v>
          </cell>
          <cell r="B3449" t="str">
            <v>D</v>
          </cell>
          <cell r="C3449">
            <v>101.95</v>
          </cell>
        </row>
        <row r="3450">
          <cell r="A3450" t="str">
            <v>LAF5783</v>
          </cell>
          <cell r="B3450" t="str">
            <v>D</v>
          </cell>
          <cell r="C3450">
            <v>76.290000000000006</v>
          </cell>
        </row>
        <row r="3451">
          <cell r="A3451" t="str">
            <v>LFF5784</v>
          </cell>
          <cell r="B3451" t="str">
            <v>D</v>
          </cell>
          <cell r="C3451">
            <v>7.63</v>
          </cell>
        </row>
        <row r="3452">
          <cell r="A3452" t="str">
            <v>LAF5785</v>
          </cell>
          <cell r="B3452" t="str">
            <v>D</v>
          </cell>
          <cell r="C3452">
            <v>67.63</v>
          </cell>
        </row>
        <row r="3453">
          <cell r="A3453" t="str">
            <v>LAF5786</v>
          </cell>
          <cell r="B3453" t="str">
            <v>D</v>
          </cell>
          <cell r="C3453">
            <v>84.82</v>
          </cell>
        </row>
        <row r="3454">
          <cell r="A3454" t="str">
            <v>L5788F</v>
          </cell>
          <cell r="B3454" t="str">
            <v>D</v>
          </cell>
          <cell r="C3454">
            <v>34.950000000000003</v>
          </cell>
        </row>
        <row r="3455">
          <cell r="A3455" t="str">
            <v>LAF5789</v>
          </cell>
          <cell r="B3455" t="str">
            <v>N</v>
          </cell>
          <cell r="C3455">
            <v>298.07</v>
          </cell>
        </row>
        <row r="3456">
          <cell r="A3456" t="str">
            <v>AF5790</v>
          </cell>
          <cell r="B3456" t="str">
            <v>D</v>
          </cell>
          <cell r="C3456">
            <v>22.33</v>
          </cell>
        </row>
        <row r="3457">
          <cell r="A3457" t="str">
            <v>AF5791</v>
          </cell>
          <cell r="B3457" t="str">
            <v>D</v>
          </cell>
          <cell r="C3457">
            <v>41.81</v>
          </cell>
        </row>
        <row r="3458">
          <cell r="A3458" t="str">
            <v>LAF5794</v>
          </cell>
          <cell r="B3458" t="str">
            <v>D</v>
          </cell>
          <cell r="C3458">
            <v>14.51</v>
          </cell>
        </row>
        <row r="3459">
          <cell r="A3459" t="str">
            <v>LAF5796</v>
          </cell>
          <cell r="B3459" t="str">
            <v>D</v>
          </cell>
          <cell r="C3459">
            <v>6.56</v>
          </cell>
        </row>
        <row r="3460">
          <cell r="A3460" t="str">
            <v>LAF5798</v>
          </cell>
          <cell r="B3460" t="str">
            <v>D</v>
          </cell>
          <cell r="C3460">
            <v>26.37</v>
          </cell>
        </row>
        <row r="3461">
          <cell r="A3461" t="str">
            <v>LAF5799</v>
          </cell>
          <cell r="B3461" t="str">
            <v>D</v>
          </cell>
          <cell r="C3461">
            <v>7.48</v>
          </cell>
        </row>
        <row r="3462">
          <cell r="A3462" t="str">
            <v>LAF5800</v>
          </cell>
          <cell r="B3462" t="str">
            <v>D</v>
          </cell>
          <cell r="C3462">
            <v>9.92</v>
          </cell>
        </row>
        <row r="3463">
          <cell r="A3463" t="str">
            <v>LAF5801</v>
          </cell>
          <cell r="B3463" t="str">
            <v>D</v>
          </cell>
          <cell r="C3463">
            <v>15.33</v>
          </cell>
        </row>
        <row r="3464">
          <cell r="A3464" t="str">
            <v>LAF5802</v>
          </cell>
          <cell r="B3464" t="str">
            <v>D</v>
          </cell>
          <cell r="C3464">
            <v>12.97</v>
          </cell>
        </row>
        <row r="3465">
          <cell r="A3465" t="str">
            <v>LAF5803</v>
          </cell>
          <cell r="B3465" t="str">
            <v>D</v>
          </cell>
          <cell r="C3465">
            <v>10.28</v>
          </cell>
        </row>
        <row r="3466">
          <cell r="A3466" t="str">
            <v>LFF5804</v>
          </cell>
          <cell r="B3466" t="str">
            <v>B</v>
          </cell>
          <cell r="C3466">
            <v>26.74</v>
          </cell>
        </row>
        <row r="3467">
          <cell r="A3467" t="str">
            <v>LFP5805</v>
          </cell>
          <cell r="B3467" t="str">
            <v>D</v>
          </cell>
          <cell r="C3467">
            <v>17.510000000000002</v>
          </cell>
        </row>
        <row r="3468">
          <cell r="A3468" t="str">
            <v>LAF5807</v>
          </cell>
          <cell r="B3468" t="str">
            <v>D</v>
          </cell>
          <cell r="C3468">
            <v>53.99</v>
          </cell>
        </row>
        <row r="3469">
          <cell r="A3469" t="str">
            <v>LAF5808</v>
          </cell>
          <cell r="B3469" t="str">
            <v>D</v>
          </cell>
          <cell r="C3469">
            <v>32.479999999999997</v>
          </cell>
        </row>
        <row r="3470">
          <cell r="A3470" t="str">
            <v>LFH5809</v>
          </cell>
          <cell r="B3470" t="str">
            <v>A</v>
          </cell>
          <cell r="C3470">
            <v>9.6</v>
          </cell>
        </row>
        <row r="3471">
          <cell r="A3471" t="str">
            <v>LAF5810</v>
          </cell>
          <cell r="B3471" t="str">
            <v>D</v>
          </cell>
          <cell r="C3471">
            <v>23.65</v>
          </cell>
        </row>
        <row r="3472">
          <cell r="A3472" t="str">
            <v>LAF5811</v>
          </cell>
          <cell r="B3472" t="str">
            <v>D</v>
          </cell>
          <cell r="C3472">
            <v>255.91</v>
          </cell>
        </row>
        <row r="3473">
          <cell r="A3473" t="str">
            <v>LAF5813</v>
          </cell>
          <cell r="B3473" t="str">
            <v>D</v>
          </cell>
          <cell r="C3473">
            <v>73.05</v>
          </cell>
        </row>
        <row r="3474">
          <cell r="A3474" t="str">
            <v>LAF5818</v>
          </cell>
          <cell r="B3474" t="str">
            <v>D</v>
          </cell>
          <cell r="C3474">
            <v>61.95</v>
          </cell>
        </row>
        <row r="3475">
          <cell r="A3475" t="str">
            <v>LAF5819</v>
          </cell>
          <cell r="B3475" t="str">
            <v>D</v>
          </cell>
          <cell r="C3475">
            <v>67.180000000000007</v>
          </cell>
        </row>
        <row r="3476">
          <cell r="A3476" t="str">
            <v>LAF5820</v>
          </cell>
          <cell r="B3476" t="str">
            <v>D</v>
          </cell>
          <cell r="C3476">
            <v>64.62</v>
          </cell>
        </row>
        <row r="3477">
          <cell r="A3477" t="str">
            <v>LAF5821</v>
          </cell>
          <cell r="B3477" t="str">
            <v>D</v>
          </cell>
          <cell r="C3477">
            <v>71.569999999999993</v>
          </cell>
        </row>
        <row r="3478">
          <cell r="A3478" t="str">
            <v>LFF5823B</v>
          </cell>
          <cell r="B3478" t="str">
            <v>A</v>
          </cell>
          <cell r="C3478">
            <v>13.45</v>
          </cell>
        </row>
        <row r="3479">
          <cell r="A3479" t="str">
            <v>LFF5824B</v>
          </cell>
          <cell r="B3479" t="str">
            <v>C</v>
          </cell>
          <cell r="C3479">
            <v>36.99</v>
          </cell>
        </row>
        <row r="3480">
          <cell r="A3480" t="str">
            <v>LFF5824U</v>
          </cell>
          <cell r="B3480" t="str">
            <v>D</v>
          </cell>
          <cell r="C3480">
            <v>30.87</v>
          </cell>
        </row>
        <row r="3481">
          <cell r="A3481" t="str">
            <v>LFP5825</v>
          </cell>
          <cell r="B3481" t="str">
            <v>D</v>
          </cell>
          <cell r="C3481">
            <v>58.63</v>
          </cell>
        </row>
        <row r="3482">
          <cell r="A3482" t="str">
            <v>LAF5827</v>
          </cell>
          <cell r="B3482" t="str">
            <v>D</v>
          </cell>
          <cell r="C3482">
            <v>31.32</v>
          </cell>
        </row>
        <row r="3483">
          <cell r="A3483" t="str">
            <v>LAF5829</v>
          </cell>
          <cell r="B3483" t="str">
            <v>D</v>
          </cell>
          <cell r="C3483">
            <v>99.44</v>
          </cell>
        </row>
        <row r="3484">
          <cell r="A3484">
            <v>5830</v>
          </cell>
          <cell r="B3484" t="str">
            <v>D</v>
          </cell>
          <cell r="C3484">
            <v>3525.58</v>
          </cell>
        </row>
        <row r="3485">
          <cell r="A3485" t="str">
            <v>LAF5830</v>
          </cell>
          <cell r="B3485" t="str">
            <v>D</v>
          </cell>
          <cell r="C3485">
            <v>85.97</v>
          </cell>
        </row>
        <row r="3486">
          <cell r="A3486" t="str">
            <v>LAF5831</v>
          </cell>
          <cell r="B3486" t="str">
            <v>D</v>
          </cell>
          <cell r="C3486">
            <v>103.51</v>
          </cell>
        </row>
        <row r="3487">
          <cell r="A3487" t="str">
            <v>LAF5832</v>
          </cell>
          <cell r="B3487" t="str">
            <v>D</v>
          </cell>
          <cell r="C3487">
            <v>74.39</v>
          </cell>
        </row>
        <row r="3488">
          <cell r="A3488" t="str">
            <v>LAF5833</v>
          </cell>
          <cell r="B3488" t="str">
            <v>D</v>
          </cell>
          <cell r="C3488">
            <v>96.21</v>
          </cell>
        </row>
        <row r="3489">
          <cell r="A3489" t="str">
            <v>LAF5835</v>
          </cell>
          <cell r="B3489" t="str">
            <v>D</v>
          </cell>
          <cell r="C3489">
            <v>33.090000000000003</v>
          </cell>
        </row>
        <row r="3490">
          <cell r="A3490" t="str">
            <v>LAF5836</v>
          </cell>
          <cell r="B3490" t="str">
            <v>D</v>
          </cell>
          <cell r="C3490">
            <v>131.06</v>
          </cell>
        </row>
        <row r="3491">
          <cell r="A3491" t="str">
            <v>LAF5837</v>
          </cell>
          <cell r="B3491" t="str">
            <v>N</v>
          </cell>
          <cell r="C3491">
            <v>46.76</v>
          </cell>
        </row>
        <row r="3492">
          <cell r="A3492" t="str">
            <v>LAF5838</v>
          </cell>
          <cell r="B3492" t="str">
            <v>D</v>
          </cell>
          <cell r="C3492">
            <v>105.64</v>
          </cell>
        </row>
        <row r="3493">
          <cell r="A3493" t="str">
            <v>L5839F</v>
          </cell>
          <cell r="B3493" t="str">
            <v>D</v>
          </cell>
          <cell r="C3493">
            <v>18.98</v>
          </cell>
        </row>
        <row r="3494">
          <cell r="A3494" t="str">
            <v>LH5840</v>
          </cell>
          <cell r="B3494" t="str">
            <v>D</v>
          </cell>
          <cell r="C3494">
            <v>67.27</v>
          </cell>
        </row>
        <row r="3495">
          <cell r="A3495" t="str">
            <v>LH5841</v>
          </cell>
          <cell r="B3495" t="str">
            <v>D</v>
          </cell>
          <cell r="C3495">
            <v>47.8</v>
          </cell>
        </row>
        <row r="3496">
          <cell r="A3496" t="str">
            <v>LAF5842</v>
          </cell>
          <cell r="B3496" t="str">
            <v>D</v>
          </cell>
          <cell r="C3496">
            <v>89.37</v>
          </cell>
        </row>
        <row r="3497">
          <cell r="A3497" t="str">
            <v>LH5843</v>
          </cell>
          <cell r="B3497" t="str">
            <v>D</v>
          </cell>
          <cell r="C3497">
            <v>62.24</v>
          </cell>
        </row>
        <row r="3498">
          <cell r="A3498" t="str">
            <v>L5844F</v>
          </cell>
          <cell r="B3498" t="str">
            <v>D</v>
          </cell>
          <cell r="C3498">
            <v>44.36</v>
          </cell>
        </row>
        <row r="3499">
          <cell r="A3499" t="str">
            <v>LAF5844</v>
          </cell>
          <cell r="B3499" t="str">
            <v>D</v>
          </cell>
          <cell r="C3499">
            <v>61.41</v>
          </cell>
        </row>
        <row r="3500">
          <cell r="A3500" t="str">
            <v>L5845F</v>
          </cell>
          <cell r="B3500" t="str">
            <v>D</v>
          </cell>
          <cell r="C3500">
            <v>27.14</v>
          </cell>
        </row>
        <row r="3501">
          <cell r="A3501" t="str">
            <v>LAF5846</v>
          </cell>
          <cell r="B3501" t="str">
            <v>D</v>
          </cell>
          <cell r="C3501">
            <v>181.64</v>
          </cell>
        </row>
        <row r="3502">
          <cell r="A3502" t="str">
            <v>LAF5847</v>
          </cell>
          <cell r="B3502" t="str">
            <v>D</v>
          </cell>
          <cell r="C3502">
            <v>52.01</v>
          </cell>
        </row>
        <row r="3503">
          <cell r="A3503" t="str">
            <v>AF5848</v>
          </cell>
          <cell r="B3503" t="str">
            <v>D</v>
          </cell>
          <cell r="C3503">
            <v>50.29</v>
          </cell>
        </row>
        <row r="3504">
          <cell r="A3504" t="str">
            <v>LFF5849</v>
          </cell>
          <cell r="B3504" t="str">
            <v>B</v>
          </cell>
          <cell r="C3504">
            <v>48.46</v>
          </cell>
        </row>
        <row r="3505">
          <cell r="A3505" t="str">
            <v>LFF5849U</v>
          </cell>
          <cell r="B3505" t="str">
            <v>C</v>
          </cell>
          <cell r="C3505">
            <v>30.02</v>
          </cell>
        </row>
        <row r="3506">
          <cell r="A3506" t="str">
            <v>LFF5850</v>
          </cell>
          <cell r="B3506" t="str">
            <v>A</v>
          </cell>
          <cell r="C3506">
            <v>49.53</v>
          </cell>
        </row>
        <row r="3507">
          <cell r="A3507" t="str">
            <v>LFF5850U</v>
          </cell>
          <cell r="B3507" t="str">
            <v>D</v>
          </cell>
          <cell r="C3507">
            <v>33.380000000000003</v>
          </cell>
        </row>
        <row r="3508">
          <cell r="A3508" t="str">
            <v>LFF5851</v>
          </cell>
          <cell r="B3508" t="str">
            <v>C</v>
          </cell>
          <cell r="C3508">
            <v>33.840000000000003</v>
          </cell>
        </row>
        <row r="3509">
          <cell r="A3509" t="str">
            <v>LFF5851U</v>
          </cell>
          <cell r="B3509" t="str">
            <v>D</v>
          </cell>
          <cell r="C3509">
            <v>18.3</v>
          </cell>
        </row>
        <row r="3510">
          <cell r="A3510" t="str">
            <v>LAF5852</v>
          </cell>
          <cell r="B3510" t="str">
            <v>D</v>
          </cell>
          <cell r="C3510">
            <v>35.729999999999997</v>
          </cell>
        </row>
        <row r="3511">
          <cell r="A3511" t="str">
            <v>LFP5853</v>
          </cell>
          <cell r="B3511" t="str">
            <v>D</v>
          </cell>
          <cell r="C3511">
            <v>45.31</v>
          </cell>
        </row>
        <row r="3512">
          <cell r="A3512" t="str">
            <v>LH5854</v>
          </cell>
          <cell r="B3512" t="str">
            <v>D</v>
          </cell>
          <cell r="C3512">
            <v>88.39</v>
          </cell>
        </row>
        <row r="3513">
          <cell r="A3513" t="str">
            <v>AF5857</v>
          </cell>
          <cell r="B3513" t="str">
            <v>D</v>
          </cell>
          <cell r="C3513">
            <v>41.75</v>
          </cell>
        </row>
        <row r="3514">
          <cell r="A3514" t="str">
            <v>AF5858</v>
          </cell>
          <cell r="B3514" t="str">
            <v>D</v>
          </cell>
          <cell r="C3514">
            <v>39.28</v>
          </cell>
        </row>
        <row r="3515">
          <cell r="A3515" t="str">
            <v>LAF5859</v>
          </cell>
          <cell r="B3515" t="str">
            <v>D</v>
          </cell>
          <cell r="C3515">
            <v>69.400000000000006</v>
          </cell>
        </row>
        <row r="3516">
          <cell r="A3516" t="str">
            <v>LAF5863</v>
          </cell>
          <cell r="B3516" t="str">
            <v>D</v>
          </cell>
          <cell r="C3516">
            <v>126.58</v>
          </cell>
        </row>
        <row r="3517">
          <cell r="A3517" t="str">
            <v>LAF5864</v>
          </cell>
          <cell r="B3517" t="str">
            <v>D</v>
          </cell>
          <cell r="C3517">
            <v>145.16999999999999</v>
          </cell>
        </row>
        <row r="3518">
          <cell r="A3518" t="str">
            <v>LAF5866</v>
          </cell>
          <cell r="B3518" t="str">
            <v>D</v>
          </cell>
          <cell r="C3518">
            <v>55.83</v>
          </cell>
        </row>
        <row r="3519">
          <cell r="A3519" t="str">
            <v>LAF5868</v>
          </cell>
          <cell r="B3519" t="str">
            <v>C</v>
          </cell>
          <cell r="C3519">
            <v>60.32</v>
          </cell>
        </row>
        <row r="3520">
          <cell r="A3520" t="str">
            <v>LFW5870</v>
          </cell>
          <cell r="B3520" t="str">
            <v>D</v>
          </cell>
          <cell r="C3520">
            <v>36.9</v>
          </cell>
        </row>
        <row r="3521">
          <cell r="A3521" t="str">
            <v>LAF5871</v>
          </cell>
          <cell r="B3521" t="str">
            <v>B</v>
          </cell>
          <cell r="C3521">
            <v>105.93</v>
          </cell>
        </row>
        <row r="3522">
          <cell r="A3522" t="str">
            <v>LAF5872</v>
          </cell>
          <cell r="B3522" t="str">
            <v>B</v>
          </cell>
          <cell r="C3522">
            <v>80.290000000000006</v>
          </cell>
        </row>
        <row r="3523">
          <cell r="A3523" t="str">
            <v>LAF5873</v>
          </cell>
          <cell r="B3523" t="str">
            <v>B</v>
          </cell>
          <cell r="C3523">
            <v>64.489999999999995</v>
          </cell>
        </row>
        <row r="3524">
          <cell r="A3524" t="str">
            <v>LFF5874</v>
          </cell>
          <cell r="B3524" t="str">
            <v>B</v>
          </cell>
          <cell r="C3524">
            <v>15.74</v>
          </cell>
        </row>
        <row r="3525">
          <cell r="A3525" t="str">
            <v>LFW5875</v>
          </cell>
          <cell r="B3525" t="str">
            <v>B</v>
          </cell>
          <cell r="C3525">
            <v>15.85</v>
          </cell>
        </row>
        <row r="3526">
          <cell r="A3526" t="str">
            <v>LFH5876</v>
          </cell>
          <cell r="B3526" t="str">
            <v>A</v>
          </cell>
          <cell r="C3526">
            <v>80.2</v>
          </cell>
        </row>
        <row r="3527">
          <cell r="A3527" t="str">
            <v>LAF5877</v>
          </cell>
          <cell r="B3527" t="str">
            <v>D</v>
          </cell>
          <cell r="C3527">
            <v>108.46</v>
          </cell>
        </row>
        <row r="3528">
          <cell r="A3528" t="str">
            <v>LAF5878</v>
          </cell>
          <cell r="B3528" t="str">
            <v>D</v>
          </cell>
          <cell r="C3528">
            <v>89.49</v>
          </cell>
        </row>
        <row r="3529">
          <cell r="A3529" t="str">
            <v>LAF5881</v>
          </cell>
          <cell r="B3529" t="str">
            <v>D</v>
          </cell>
          <cell r="C3529">
            <v>445.82</v>
          </cell>
        </row>
        <row r="3530">
          <cell r="A3530" t="str">
            <v>LAF5882</v>
          </cell>
          <cell r="B3530" t="str">
            <v>D</v>
          </cell>
          <cell r="C3530">
            <v>114.22</v>
          </cell>
        </row>
        <row r="3531">
          <cell r="A3531" t="str">
            <v>LAF5884</v>
          </cell>
          <cell r="B3531" t="str">
            <v>D</v>
          </cell>
          <cell r="C3531">
            <v>102.76</v>
          </cell>
        </row>
        <row r="3532">
          <cell r="A3532" t="str">
            <v>LAF5885</v>
          </cell>
          <cell r="B3532" t="str">
            <v>D</v>
          </cell>
          <cell r="C3532">
            <v>88.16</v>
          </cell>
        </row>
        <row r="3533">
          <cell r="A3533" t="str">
            <v>LAF5887</v>
          </cell>
          <cell r="B3533" t="str">
            <v>D</v>
          </cell>
          <cell r="C3533">
            <v>64.92</v>
          </cell>
        </row>
        <row r="3534">
          <cell r="A3534" t="str">
            <v>LAF5889</v>
          </cell>
          <cell r="B3534" t="str">
            <v>D</v>
          </cell>
          <cell r="C3534">
            <v>135.28</v>
          </cell>
        </row>
        <row r="3535">
          <cell r="A3535" t="str">
            <v>LAF5890</v>
          </cell>
          <cell r="B3535" t="str">
            <v>D</v>
          </cell>
          <cell r="C3535">
            <v>61.72</v>
          </cell>
        </row>
        <row r="3536">
          <cell r="A3536" t="str">
            <v>LAF5891</v>
          </cell>
          <cell r="B3536" t="str">
            <v>D</v>
          </cell>
          <cell r="C3536">
            <v>41.67</v>
          </cell>
        </row>
        <row r="3537">
          <cell r="A3537" t="str">
            <v>LFH5896</v>
          </cell>
          <cell r="B3537" t="str">
            <v>N</v>
          </cell>
          <cell r="C3537">
            <v>23.71</v>
          </cell>
        </row>
        <row r="3538">
          <cell r="A3538" t="str">
            <v>LP5899</v>
          </cell>
          <cell r="B3538" t="str">
            <v>D</v>
          </cell>
          <cell r="C3538">
            <v>29.66</v>
          </cell>
        </row>
        <row r="3539">
          <cell r="A3539" t="str">
            <v>LP5900</v>
          </cell>
          <cell r="B3539" t="str">
            <v>D</v>
          </cell>
          <cell r="C3539">
            <v>19.66</v>
          </cell>
        </row>
        <row r="3540">
          <cell r="A3540" t="str">
            <v>LP5901</v>
          </cell>
          <cell r="B3540" t="str">
            <v>D</v>
          </cell>
          <cell r="C3540">
            <v>29.67</v>
          </cell>
        </row>
        <row r="3541">
          <cell r="A3541" t="str">
            <v>LP5902</v>
          </cell>
          <cell r="B3541" t="str">
            <v>D</v>
          </cell>
          <cell r="C3541">
            <v>32.51</v>
          </cell>
        </row>
        <row r="3542">
          <cell r="A3542" t="str">
            <v>LP5903</v>
          </cell>
          <cell r="B3542" t="str">
            <v>D</v>
          </cell>
          <cell r="C3542">
            <v>19.149999999999999</v>
          </cell>
        </row>
        <row r="3543">
          <cell r="A3543" t="str">
            <v>LP5905</v>
          </cell>
          <cell r="B3543" t="str">
            <v>N</v>
          </cell>
          <cell r="C3543">
            <v>30.55</v>
          </cell>
        </row>
        <row r="3544">
          <cell r="A3544">
            <v>5907</v>
          </cell>
          <cell r="B3544" t="str">
            <v>D</v>
          </cell>
          <cell r="C3544">
            <v>426.95</v>
          </cell>
        </row>
        <row r="3545">
          <cell r="A3545" t="str">
            <v>LP5907</v>
          </cell>
          <cell r="B3545" t="str">
            <v>D</v>
          </cell>
          <cell r="C3545">
            <v>21.93</v>
          </cell>
        </row>
        <row r="3546">
          <cell r="A3546" t="str">
            <v>LP5912</v>
          </cell>
          <cell r="B3546" t="str">
            <v>D</v>
          </cell>
          <cell r="C3546">
            <v>54.16</v>
          </cell>
        </row>
        <row r="3547">
          <cell r="A3547" t="str">
            <v>LFP5919</v>
          </cell>
          <cell r="B3547" t="str">
            <v>D</v>
          </cell>
          <cell r="C3547">
            <v>22.39</v>
          </cell>
        </row>
        <row r="3548">
          <cell r="A3548" t="str">
            <v>LP5922</v>
          </cell>
          <cell r="B3548" t="str">
            <v>D</v>
          </cell>
          <cell r="C3548">
            <v>31.53</v>
          </cell>
        </row>
        <row r="3549">
          <cell r="A3549" t="str">
            <v>LFP5925</v>
          </cell>
          <cell r="B3549" t="str">
            <v>D</v>
          </cell>
          <cell r="C3549">
            <v>28.05</v>
          </cell>
        </row>
        <row r="3550">
          <cell r="A3550" t="str">
            <v>LFF5926</v>
          </cell>
          <cell r="B3550" t="str">
            <v>D</v>
          </cell>
          <cell r="C3550">
            <v>17.78</v>
          </cell>
        </row>
        <row r="3551">
          <cell r="A3551" t="str">
            <v>LAF5929</v>
          </cell>
          <cell r="B3551" t="str">
            <v>N</v>
          </cell>
          <cell r="C3551">
            <v>82.93</v>
          </cell>
        </row>
        <row r="3552">
          <cell r="A3552" t="str">
            <v>LFP5930</v>
          </cell>
          <cell r="B3552" t="str">
            <v>D</v>
          </cell>
          <cell r="C3552">
            <v>31.68</v>
          </cell>
        </row>
        <row r="3553">
          <cell r="A3553" t="str">
            <v>LH5931</v>
          </cell>
          <cell r="B3553" t="str">
            <v>D</v>
          </cell>
          <cell r="C3553">
            <v>66.12</v>
          </cell>
        </row>
        <row r="3554">
          <cell r="A3554" t="str">
            <v>LAF5932</v>
          </cell>
          <cell r="B3554" t="str">
            <v>B</v>
          </cell>
          <cell r="C3554">
            <v>78.12</v>
          </cell>
        </row>
        <row r="3555">
          <cell r="A3555" t="str">
            <v>LAF5933</v>
          </cell>
          <cell r="B3555" t="str">
            <v>D</v>
          </cell>
          <cell r="C3555">
            <v>45.57</v>
          </cell>
        </row>
        <row r="3556">
          <cell r="A3556" t="str">
            <v>LAF5934</v>
          </cell>
          <cell r="B3556" t="str">
            <v>D</v>
          </cell>
          <cell r="C3556">
            <v>70.11</v>
          </cell>
        </row>
        <row r="3557">
          <cell r="A3557" t="str">
            <v>LFH5936</v>
          </cell>
          <cell r="B3557" t="str">
            <v>D</v>
          </cell>
          <cell r="C3557">
            <v>84.46</v>
          </cell>
        </row>
        <row r="3558">
          <cell r="A3558" t="str">
            <v>LFH5937</v>
          </cell>
          <cell r="B3558" t="str">
            <v>D</v>
          </cell>
          <cell r="C3558">
            <v>81.73</v>
          </cell>
        </row>
        <row r="3559">
          <cell r="A3559" t="str">
            <v>LAF5938</v>
          </cell>
          <cell r="B3559" t="str">
            <v>D</v>
          </cell>
          <cell r="C3559">
            <v>60.26</v>
          </cell>
        </row>
        <row r="3560">
          <cell r="A3560" t="str">
            <v>LFH5939</v>
          </cell>
          <cell r="B3560" t="str">
            <v>N</v>
          </cell>
          <cell r="C3560">
            <v>37.119999999999997</v>
          </cell>
        </row>
        <row r="3561">
          <cell r="A3561" t="str">
            <v>LH5940</v>
          </cell>
          <cell r="B3561" t="str">
            <v>D</v>
          </cell>
          <cell r="C3561">
            <v>22.33</v>
          </cell>
        </row>
        <row r="3562">
          <cell r="A3562" t="str">
            <v>LFH5941</v>
          </cell>
          <cell r="B3562" t="str">
            <v>D</v>
          </cell>
          <cell r="C3562">
            <v>157.61000000000001</v>
          </cell>
        </row>
        <row r="3563">
          <cell r="A3563" t="str">
            <v>LH5942</v>
          </cell>
          <cell r="B3563" t="str">
            <v>D</v>
          </cell>
          <cell r="C3563">
            <v>28.21</v>
          </cell>
        </row>
        <row r="3564">
          <cell r="A3564" t="str">
            <v>L5944F</v>
          </cell>
          <cell r="B3564" t="str">
            <v>D</v>
          </cell>
          <cell r="C3564">
            <v>18.2</v>
          </cell>
        </row>
        <row r="3565">
          <cell r="A3565" t="str">
            <v>L5945F</v>
          </cell>
          <cell r="B3565" t="str">
            <v>D</v>
          </cell>
          <cell r="C3565">
            <v>15.13</v>
          </cell>
        </row>
        <row r="3566">
          <cell r="A3566" t="str">
            <v>L5947F</v>
          </cell>
          <cell r="B3566" t="str">
            <v>D</v>
          </cell>
          <cell r="C3566">
            <v>34.79</v>
          </cell>
        </row>
        <row r="3567">
          <cell r="A3567" t="str">
            <v>L5948F</v>
          </cell>
          <cell r="B3567" t="str">
            <v>D</v>
          </cell>
          <cell r="C3567">
            <v>22.52</v>
          </cell>
        </row>
        <row r="3568">
          <cell r="A3568" t="str">
            <v>L5949F</v>
          </cell>
          <cell r="B3568" t="str">
            <v>D</v>
          </cell>
          <cell r="C3568">
            <v>20.079999999999998</v>
          </cell>
        </row>
        <row r="3569">
          <cell r="A3569" t="str">
            <v>LFF5950</v>
          </cell>
          <cell r="B3569" t="str">
            <v>D</v>
          </cell>
          <cell r="C3569">
            <v>25.66</v>
          </cell>
        </row>
        <row r="3570">
          <cell r="A3570" t="str">
            <v>LAF5951</v>
          </cell>
          <cell r="B3570" t="str">
            <v>D</v>
          </cell>
          <cell r="C3570">
            <v>51.58</v>
          </cell>
        </row>
        <row r="3571">
          <cell r="A3571" t="str">
            <v>LP5952</v>
          </cell>
          <cell r="B3571" t="str">
            <v>D</v>
          </cell>
          <cell r="C3571">
            <v>98.26</v>
          </cell>
        </row>
        <row r="3572">
          <cell r="A3572" t="str">
            <v>LH5953</v>
          </cell>
          <cell r="B3572" t="str">
            <v>D</v>
          </cell>
          <cell r="C3572">
            <v>70.17</v>
          </cell>
        </row>
        <row r="3573">
          <cell r="A3573" t="str">
            <v>LFP5954</v>
          </cell>
          <cell r="B3573" t="str">
            <v>D</v>
          </cell>
          <cell r="C3573">
            <v>37.49</v>
          </cell>
        </row>
        <row r="3574">
          <cell r="A3574" t="str">
            <v>LAF5955</v>
          </cell>
          <cell r="B3574" t="str">
            <v>D</v>
          </cell>
          <cell r="C3574">
            <v>61.27</v>
          </cell>
        </row>
        <row r="3575">
          <cell r="A3575" t="str">
            <v>LFF5956</v>
          </cell>
          <cell r="B3575" t="str">
            <v>D</v>
          </cell>
          <cell r="C3575">
            <v>14.12</v>
          </cell>
        </row>
        <row r="3576">
          <cell r="A3576" t="str">
            <v>LAF5959</v>
          </cell>
          <cell r="B3576" t="str">
            <v>D</v>
          </cell>
          <cell r="C3576">
            <v>70.34</v>
          </cell>
        </row>
        <row r="3577">
          <cell r="A3577" t="str">
            <v>LH5961</v>
          </cell>
          <cell r="B3577" t="str">
            <v>D</v>
          </cell>
          <cell r="C3577">
            <v>17.12</v>
          </cell>
        </row>
        <row r="3578">
          <cell r="A3578" t="str">
            <v>LAF5962</v>
          </cell>
          <cell r="B3578" t="str">
            <v>C</v>
          </cell>
          <cell r="C3578">
            <v>84.44</v>
          </cell>
        </row>
        <row r="3579">
          <cell r="A3579" t="str">
            <v>LFP5963</v>
          </cell>
          <cell r="B3579" t="str">
            <v>D</v>
          </cell>
          <cell r="C3579">
            <v>58</v>
          </cell>
        </row>
        <row r="3580">
          <cell r="A3580" t="str">
            <v>LFP5964</v>
          </cell>
          <cell r="B3580" t="str">
            <v>B</v>
          </cell>
          <cell r="C3580">
            <v>41.44</v>
          </cell>
        </row>
        <row r="3581">
          <cell r="A3581" t="str">
            <v>LFF5967</v>
          </cell>
          <cell r="B3581" t="str">
            <v>D</v>
          </cell>
          <cell r="C3581">
            <v>43.1</v>
          </cell>
        </row>
        <row r="3582">
          <cell r="A3582" t="str">
            <v>LFP5969</v>
          </cell>
          <cell r="B3582" t="str">
            <v>A</v>
          </cell>
          <cell r="C3582">
            <v>31.93</v>
          </cell>
        </row>
        <row r="3583">
          <cell r="A3583" t="str">
            <v>LH5970</v>
          </cell>
          <cell r="B3583" t="str">
            <v>D</v>
          </cell>
          <cell r="C3583">
            <v>286.33</v>
          </cell>
        </row>
        <row r="3584">
          <cell r="A3584" t="str">
            <v>LFP5971</v>
          </cell>
          <cell r="B3584" t="str">
            <v>A</v>
          </cell>
          <cell r="C3584">
            <v>30.25</v>
          </cell>
        </row>
        <row r="3585">
          <cell r="A3585" t="str">
            <v>LAF5973</v>
          </cell>
          <cell r="B3585" t="str">
            <v>N</v>
          </cell>
          <cell r="C3585">
            <v>62.57</v>
          </cell>
        </row>
        <row r="3586">
          <cell r="A3586" t="str">
            <v>LAF5974</v>
          </cell>
          <cell r="B3586" t="str">
            <v>N</v>
          </cell>
          <cell r="C3586">
            <v>31.54</v>
          </cell>
        </row>
        <row r="3587">
          <cell r="A3587" t="str">
            <v>LP5979</v>
          </cell>
          <cell r="B3587" t="str">
            <v>D</v>
          </cell>
          <cell r="C3587">
            <v>21.67</v>
          </cell>
        </row>
        <row r="3588">
          <cell r="A3588" t="str">
            <v>LAF5980</v>
          </cell>
          <cell r="B3588" t="str">
            <v>A</v>
          </cell>
          <cell r="C3588">
            <v>13.7</v>
          </cell>
        </row>
        <row r="3589">
          <cell r="A3589" t="str">
            <v>LAF5980FP</v>
          </cell>
          <cell r="B3589" t="str">
            <v>D</v>
          </cell>
          <cell r="C3589">
            <v>24.32</v>
          </cell>
        </row>
        <row r="3590">
          <cell r="A3590" t="str">
            <v>LAF5981</v>
          </cell>
          <cell r="B3590" t="str">
            <v>D</v>
          </cell>
          <cell r="C3590">
            <v>147.94</v>
          </cell>
        </row>
        <row r="3591">
          <cell r="A3591" t="str">
            <v>LFF5982</v>
          </cell>
          <cell r="B3591" t="str">
            <v>D</v>
          </cell>
          <cell r="C3591">
            <v>24.31</v>
          </cell>
        </row>
        <row r="3592">
          <cell r="A3592" t="str">
            <v>AF5983</v>
          </cell>
          <cell r="B3592" t="str">
            <v>D</v>
          </cell>
          <cell r="C3592">
            <v>41.32</v>
          </cell>
        </row>
        <row r="3593">
          <cell r="A3593" t="str">
            <v>AF5986</v>
          </cell>
          <cell r="B3593" t="str">
            <v>D</v>
          </cell>
          <cell r="C3593">
            <v>22.46</v>
          </cell>
        </row>
        <row r="3594">
          <cell r="A3594" t="str">
            <v>LAF6003</v>
          </cell>
          <cell r="B3594" t="str">
            <v>D</v>
          </cell>
          <cell r="C3594">
            <v>42.24</v>
          </cell>
        </row>
        <row r="3595">
          <cell r="A3595" t="str">
            <v>LP6005</v>
          </cell>
          <cell r="B3595" t="str">
            <v>C</v>
          </cell>
          <cell r="C3595">
            <v>9.25</v>
          </cell>
        </row>
        <row r="3596">
          <cell r="A3596" t="str">
            <v>LFP6007</v>
          </cell>
          <cell r="B3596" t="str">
            <v>A</v>
          </cell>
          <cell r="C3596">
            <v>17.66</v>
          </cell>
        </row>
        <row r="3597">
          <cell r="A3597" t="str">
            <v>LAF6008</v>
          </cell>
          <cell r="B3597" t="str">
            <v>D</v>
          </cell>
          <cell r="C3597">
            <v>103.98</v>
          </cell>
        </row>
        <row r="3598">
          <cell r="A3598" t="str">
            <v>AF6009</v>
          </cell>
          <cell r="B3598" t="str">
            <v>D</v>
          </cell>
          <cell r="C3598">
            <v>38.4</v>
          </cell>
        </row>
        <row r="3599">
          <cell r="A3599" t="str">
            <v>LFF6012</v>
          </cell>
          <cell r="B3599" t="str">
            <v>B</v>
          </cell>
          <cell r="C3599">
            <v>44.99</v>
          </cell>
        </row>
        <row r="3600">
          <cell r="A3600">
            <v>6013</v>
          </cell>
          <cell r="B3600" t="str">
            <v>D</v>
          </cell>
          <cell r="C3600">
            <v>490.89</v>
          </cell>
        </row>
        <row r="3601">
          <cell r="A3601" t="str">
            <v>LFP6015</v>
          </cell>
          <cell r="B3601" t="str">
            <v>B</v>
          </cell>
          <cell r="C3601">
            <v>18.989999999999998</v>
          </cell>
        </row>
        <row r="3602">
          <cell r="A3602" t="str">
            <v>LFP6023</v>
          </cell>
          <cell r="B3602" t="str">
            <v>N</v>
          </cell>
          <cell r="C3602">
            <v>30.03</v>
          </cell>
        </row>
        <row r="3603">
          <cell r="A3603" t="str">
            <v>LFP6027</v>
          </cell>
          <cell r="B3603" t="str">
            <v>N</v>
          </cell>
          <cell r="C3603">
            <v>30.82</v>
          </cell>
        </row>
        <row r="3604">
          <cell r="A3604" t="str">
            <v>LP6028-5</v>
          </cell>
          <cell r="B3604" t="str">
            <v>D</v>
          </cell>
          <cell r="C3604">
            <v>49.19</v>
          </cell>
        </row>
        <row r="3605">
          <cell r="A3605" t="str">
            <v>LAF6029</v>
          </cell>
          <cell r="B3605" t="str">
            <v>D</v>
          </cell>
          <cell r="C3605">
            <v>31.98</v>
          </cell>
        </row>
        <row r="3606">
          <cell r="A3606" t="str">
            <v>LAF6030</v>
          </cell>
          <cell r="B3606" t="str">
            <v>D</v>
          </cell>
          <cell r="C3606">
            <v>61.87</v>
          </cell>
        </row>
        <row r="3607">
          <cell r="A3607" t="str">
            <v>LAF6032</v>
          </cell>
          <cell r="B3607" t="str">
            <v>D</v>
          </cell>
          <cell r="C3607">
            <v>28.03</v>
          </cell>
        </row>
        <row r="3608">
          <cell r="A3608" t="str">
            <v>LFP6035</v>
          </cell>
          <cell r="B3608" t="str">
            <v>N</v>
          </cell>
          <cell r="C3608">
            <v>55.11</v>
          </cell>
        </row>
        <row r="3609">
          <cell r="A3609" t="str">
            <v>LP6043</v>
          </cell>
          <cell r="B3609" t="str">
            <v>N</v>
          </cell>
          <cell r="C3609">
            <v>35.97</v>
          </cell>
        </row>
        <row r="3610">
          <cell r="A3610" t="str">
            <v>LP6061</v>
          </cell>
          <cell r="B3610" t="str">
            <v>D</v>
          </cell>
          <cell r="C3610">
            <v>14.59</v>
          </cell>
        </row>
        <row r="3611">
          <cell r="A3611">
            <v>6068</v>
          </cell>
          <cell r="B3611" t="str">
            <v>D</v>
          </cell>
          <cell r="C3611">
            <v>545.71</v>
          </cell>
        </row>
        <row r="3612">
          <cell r="A3612" t="str">
            <v>LAF6098</v>
          </cell>
          <cell r="B3612" t="str">
            <v>N</v>
          </cell>
          <cell r="C3612">
            <v>120.05</v>
          </cell>
        </row>
        <row r="3613">
          <cell r="A3613" t="str">
            <v>LAF6099</v>
          </cell>
          <cell r="B3613" t="str">
            <v>N</v>
          </cell>
          <cell r="C3613">
            <v>69.58</v>
          </cell>
        </row>
        <row r="3614">
          <cell r="A3614" t="str">
            <v>LAF6101</v>
          </cell>
          <cell r="B3614" t="str">
            <v>N</v>
          </cell>
          <cell r="C3614">
            <v>79.27</v>
          </cell>
        </row>
        <row r="3615">
          <cell r="A3615" t="str">
            <v>LAF6102</v>
          </cell>
          <cell r="B3615" t="str">
            <v>B</v>
          </cell>
          <cell r="C3615">
            <v>41.44</v>
          </cell>
        </row>
        <row r="3616">
          <cell r="A3616" t="str">
            <v>LAF6108</v>
          </cell>
          <cell r="B3616" t="str">
            <v>D</v>
          </cell>
          <cell r="C3616">
            <v>59.69</v>
          </cell>
        </row>
        <row r="3617">
          <cell r="A3617" t="str">
            <v>LAF6113</v>
          </cell>
          <cell r="B3617" t="str">
            <v>D</v>
          </cell>
          <cell r="C3617">
            <v>75.08</v>
          </cell>
        </row>
        <row r="3618">
          <cell r="A3618" t="str">
            <v>LAF6114</v>
          </cell>
          <cell r="B3618" t="str">
            <v>D</v>
          </cell>
          <cell r="C3618">
            <v>69.790000000000006</v>
          </cell>
        </row>
        <row r="3619">
          <cell r="A3619" t="str">
            <v>LAF6115</v>
          </cell>
          <cell r="B3619" t="str">
            <v>D</v>
          </cell>
          <cell r="C3619">
            <v>49.85</v>
          </cell>
        </row>
        <row r="3620">
          <cell r="A3620" t="str">
            <v>LAF6116</v>
          </cell>
          <cell r="B3620" t="str">
            <v>A</v>
          </cell>
          <cell r="C3620">
            <v>180.51</v>
          </cell>
        </row>
        <row r="3621">
          <cell r="A3621" t="str">
            <v>LAF6122</v>
          </cell>
          <cell r="B3621" t="str">
            <v>D</v>
          </cell>
          <cell r="C3621">
            <v>158.32</v>
          </cell>
        </row>
        <row r="3622">
          <cell r="A3622" t="str">
            <v>LAF6124</v>
          </cell>
          <cell r="B3622" t="str">
            <v>B</v>
          </cell>
          <cell r="C3622">
            <v>92.65</v>
          </cell>
        </row>
        <row r="3623">
          <cell r="A3623" t="str">
            <v>LAF6125</v>
          </cell>
          <cell r="B3623" t="str">
            <v>D</v>
          </cell>
          <cell r="C3623">
            <v>54.97</v>
          </cell>
        </row>
        <row r="3624">
          <cell r="A3624" t="str">
            <v>LAF6126</v>
          </cell>
          <cell r="B3624" t="str">
            <v>D</v>
          </cell>
          <cell r="C3624">
            <v>46.07</v>
          </cell>
        </row>
        <row r="3625">
          <cell r="A3625" t="str">
            <v>LAF6127</v>
          </cell>
          <cell r="B3625" t="str">
            <v>D</v>
          </cell>
          <cell r="C3625">
            <v>139</v>
          </cell>
        </row>
        <row r="3626">
          <cell r="A3626" t="str">
            <v>LAF6127MXM</v>
          </cell>
          <cell r="B3626" t="str">
            <v>N</v>
          </cell>
          <cell r="C3626">
            <v>153.19</v>
          </cell>
        </row>
        <row r="3627">
          <cell r="A3627" t="str">
            <v>LAF6128</v>
          </cell>
          <cell r="B3627" t="str">
            <v>D</v>
          </cell>
          <cell r="C3627">
            <v>79.599999999999994</v>
          </cell>
        </row>
        <row r="3628">
          <cell r="A3628" t="str">
            <v>LFH6135</v>
          </cell>
          <cell r="B3628" t="str">
            <v>D</v>
          </cell>
          <cell r="C3628">
            <v>53.26</v>
          </cell>
        </row>
        <row r="3629">
          <cell r="A3629" t="str">
            <v>LH6147</v>
          </cell>
          <cell r="B3629" t="str">
            <v>D</v>
          </cell>
          <cell r="C3629">
            <v>83.64</v>
          </cell>
        </row>
        <row r="3630">
          <cell r="A3630" t="str">
            <v>LAF6151</v>
          </cell>
          <cell r="B3630" t="str">
            <v>D</v>
          </cell>
          <cell r="C3630">
            <v>122.06</v>
          </cell>
        </row>
        <row r="3631">
          <cell r="A3631" t="str">
            <v>L6161F</v>
          </cell>
          <cell r="B3631" t="str">
            <v>N</v>
          </cell>
          <cell r="C3631">
            <v>26.15</v>
          </cell>
        </row>
        <row r="3632">
          <cell r="A3632" t="str">
            <v>LAF6165</v>
          </cell>
          <cell r="B3632" t="str">
            <v>D</v>
          </cell>
          <cell r="C3632">
            <v>351.43</v>
          </cell>
        </row>
        <row r="3633">
          <cell r="A3633" t="str">
            <v>LH6194</v>
          </cell>
          <cell r="B3633" t="str">
            <v>D</v>
          </cell>
          <cell r="C3633">
            <v>68.34</v>
          </cell>
        </row>
        <row r="3634">
          <cell r="A3634" t="str">
            <v>LFH6197</v>
          </cell>
          <cell r="B3634" t="str">
            <v>N</v>
          </cell>
          <cell r="C3634">
            <v>34.520000000000003</v>
          </cell>
        </row>
        <row r="3635">
          <cell r="A3635" t="str">
            <v>LFH6201</v>
          </cell>
          <cell r="B3635" t="str">
            <v>N</v>
          </cell>
          <cell r="C3635">
            <v>24.51</v>
          </cell>
        </row>
        <row r="3636">
          <cell r="A3636" t="str">
            <v>LAF6205</v>
          </cell>
          <cell r="B3636" t="str">
            <v>N</v>
          </cell>
          <cell r="C3636">
            <v>28.42</v>
          </cell>
        </row>
        <row r="3637">
          <cell r="A3637" t="str">
            <v>LFP6228</v>
          </cell>
          <cell r="B3637" t="str">
            <v>D</v>
          </cell>
          <cell r="C3637">
            <v>15.37</v>
          </cell>
        </row>
        <row r="3638">
          <cell r="A3638" t="str">
            <v>LFP6240</v>
          </cell>
          <cell r="B3638" t="str">
            <v>D</v>
          </cell>
          <cell r="C3638">
            <v>8.34</v>
          </cell>
        </row>
        <row r="3639">
          <cell r="A3639" t="str">
            <v>LFP6241</v>
          </cell>
          <cell r="B3639" t="str">
            <v>C</v>
          </cell>
          <cell r="C3639">
            <v>8.08</v>
          </cell>
        </row>
        <row r="3640">
          <cell r="A3640" t="str">
            <v>LAF6243</v>
          </cell>
          <cell r="B3640" t="str">
            <v>D</v>
          </cell>
          <cell r="C3640">
            <v>73.44</v>
          </cell>
        </row>
        <row r="3641">
          <cell r="A3641" t="str">
            <v>LAF6260</v>
          </cell>
          <cell r="B3641" t="str">
            <v>A</v>
          </cell>
          <cell r="C3641">
            <v>133.46</v>
          </cell>
        </row>
        <row r="3642">
          <cell r="A3642" t="str">
            <v>LAF6265</v>
          </cell>
          <cell r="B3642" t="str">
            <v>B</v>
          </cell>
          <cell r="C3642">
            <v>117.71</v>
          </cell>
        </row>
        <row r="3643">
          <cell r="A3643" t="str">
            <v>L6265F</v>
          </cell>
          <cell r="B3643" t="str">
            <v>D</v>
          </cell>
          <cell r="C3643">
            <v>39.450000000000003</v>
          </cell>
        </row>
        <row r="3644">
          <cell r="A3644" t="str">
            <v>L6268F</v>
          </cell>
          <cell r="B3644" t="str">
            <v>N</v>
          </cell>
          <cell r="C3644">
            <v>24.83</v>
          </cell>
        </row>
        <row r="3645">
          <cell r="A3645" t="str">
            <v>L6285F</v>
          </cell>
          <cell r="B3645" t="str">
            <v>C</v>
          </cell>
          <cell r="C3645">
            <v>24.69</v>
          </cell>
        </row>
        <row r="3646">
          <cell r="A3646" t="str">
            <v>L6286F</v>
          </cell>
          <cell r="B3646" t="str">
            <v>D</v>
          </cell>
          <cell r="C3646">
            <v>23.97</v>
          </cell>
        </row>
        <row r="3647">
          <cell r="A3647" t="str">
            <v>LFF6289</v>
          </cell>
          <cell r="B3647" t="str">
            <v>D</v>
          </cell>
          <cell r="C3647">
            <v>53.59</v>
          </cell>
        </row>
        <row r="3648">
          <cell r="A3648" t="str">
            <v>LAF6299</v>
          </cell>
          <cell r="B3648" t="str">
            <v>D</v>
          </cell>
          <cell r="C3648">
            <v>102.32</v>
          </cell>
        </row>
        <row r="3649">
          <cell r="A3649" t="str">
            <v>LAF6300</v>
          </cell>
          <cell r="B3649" t="str">
            <v>D</v>
          </cell>
          <cell r="C3649">
            <v>65.650000000000006</v>
          </cell>
        </row>
        <row r="3650">
          <cell r="A3650" t="str">
            <v>G6302</v>
          </cell>
          <cell r="B3650" t="str">
            <v>D</v>
          </cell>
          <cell r="C3650">
            <v>38.32</v>
          </cell>
        </row>
        <row r="3651">
          <cell r="A3651" t="str">
            <v>G6303</v>
          </cell>
          <cell r="B3651" t="str">
            <v>D</v>
          </cell>
          <cell r="C3651">
            <v>37.19</v>
          </cell>
        </row>
        <row r="3652">
          <cell r="A3652" t="str">
            <v>G6304</v>
          </cell>
          <cell r="B3652" t="str">
            <v>D</v>
          </cell>
          <cell r="C3652">
            <v>19.78</v>
          </cell>
        </row>
        <row r="3653">
          <cell r="A3653" t="str">
            <v>G6307</v>
          </cell>
          <cell r="B3653" t="str">
            <v>D</v>
          </cell>
          <cell r="C3653">
            <v>30.73</v>
          </cell>
        </row>
        <row r="3654">
          <cell r="A3654" t="str">
            <v>G6310</v>
          </cell>
          <cell r="B3654" t="str">
            <v>D</v>
          </cell>
          <cell r="C3654">
            <v>30.25</v>
          </cell>
        </row>
        <row r="3655">
          <cell r="A3655" t="str">
            <v>G6311</v>
          </cell>
          <cell r="B3655" t="str">
            <v>D</v>
          </cell>
          <cell r="C3655">
            <v>50.52</v>
          </cell>
        </row>
        <row r="3656">
          <cell r="A3656" t="str">
            <v>G6317</v>
          </cell>
          <cell r="B3656" t="str">
            <v>D</v>
          </cell>
          <cell r="C3656">
            <v>30.67</v>
          </cell>
        </row>
        <row r="3657">
          <cell r="A3657" t="str">
            <v>G6319</v>
          </cell>
          <cell r="B3657" t="str">
            <v>D</v>
          </cell>
          <cell r="C3657">
            <v>32.79</v>
          </cell>
        </row>
        <row r="3658">
          <cell r="A3658" t="str">
            <v>G6320</v>
          </cell>
          <cell r="B3658" t="str">
            <v>D</v>
          </cell>
          <cell r="C3658">
            <v>33.549999999999997</v>
          </cell>
        </row>
        <row r="3659">
          <cell r="A3659" t="str">
            <v>G6321</v>
          </cell>
          <cell r="B3659" t="str">
            <v>D</v>
          </cell>
          <cell r="C3659">
            <v>31.13</v>
          </cell>
        </row>
        <row r="3660">
          <cell r="A3660" t="str">
            <v>G6324</v>
          </cell>
          <cell r="B3660" t="str">
            <v>D</v>
          </cell>
          <cell r="C3660">
            <v>26.74</v>
          </cell>
        </row>
        <row r="3661">
          <cell r="A3661" t="str">
            <v>G6326</v>
          </cell>
          <cell r="B3661" t="str">
            <v>D</v>
          </cell>
          <cell r="C3661">
            <v>24.87</v>
          </cell>
        </row>
        <row r="3662">
          <cell r="A3662" t="str">
            <v>G6327</v>
          </cell>
          <cell r="B3662" t="str">
            <v>D</v>
          </cell>
          <cell r="C3662">
            <v>38.29</v>
          </cell>
        </row>
        <row r="3663">
          <cell r="A3663" t="str">
            <v>G6328</v>
          </cell>
          <cell r="B3663" t="str">
            <v>D</v>
          </cell>
          <cell r="C3663">
            <v>6.76</v>
          </cell>
        </row>
        <row r="3664">
          <cell r="A3664" t="str">
            <v>G6330</v>
          </cell>
          <cell r="B3664" t="str">
            <v>D</v>
          </cell>
          <cell r="C3664">
            <v>28.4</v>
          </cell>
        </row>
        <row r="3665">
          <cell r="A3665" t="str">
            <v>G6332</v>
          </cell>
          <cell r="B3665" t="str">
            <v>D</v>
          </cell>
          <cell r="C3665">
            <v>11.42</v>
          </cell>
        </row>
        <row r="3666">
          <cell r="A3666" t="str">
            <v>G6333</v>
          </cell>
          <cell r="B3666" t="str">
            <v>D</v>
          </cell>
          <cell r="C3666">
            <v>32.79</v>
          </cell>
        </row>
        <row r="3667">
          <cell r="A3667" t="str">
            <v>G6335</v>
          </cell>
          <cell r="B3667" t="str">
            <v>A</v>
          </cell>
          <cell r="C3667">
            <v>16.93</v>
          </cell>
        </row>
        <row r="3668">
          <cell r="A3668" t="str">
            <v>G6336</v>
          </cell>
          <cell r="B3668" t="str">
            <v>D</v>
          </cell>
          <cell r="C3668">
            <v>31.3</v>
          </cell>
        </row>
        <row r="3669">
          <cell r="A3669" t="str">
            <v>G6337</v>
          </cell>
          <cell r="B3669" t="str">
            <v>D</v>
          </cell>
          <cell r="C3669">
            <v>30.45</v>
          </cell>
        </row>
        <row r="3670">
          <cell r="A3670" t="str">
            <v>LFF6338</v>
          </cell>
          <cell r="B3670" t="str">
            <v>D</v>
          </cell>
          <cell r="C3670">
            <v>17.29</v>
          </cell>
        </row>
        <row r="3671">
          <cell r="A3671" t="str">
            <v>G6339</v>
          </cell>
          <cell r="B3671" t="str">
            <v>D</v>
          </cell>
          <cell r="C3671">
            <v>26.6</v>
          </cell>
        </row>
        <row r="3672">
          <cell r="A3672" t="str">
            <v>G6340</v>
          </cell>
          <cell r="B3672" t="str">
            <v>D</v>
          </cell>
          <cell r="C3672">
            <v>14.82</v>
          </cell>
        </row>
        <row r="3673">
          <cell r="A3673" t="str">
            <v>G6341</v>
          </cell>
          <cell r="B3673" t="str">
            <v>D</v>
          </cell>
          <cell r="C3673">
            <v>18.440000000000001</v>
          </cell>
        </row>
        <row r="3674">
          <cell r="A3674" t="str">
            <v>G6342</v>
          </cell>
          <cell r="B3674" t="str">
            <v>D</v>
          </cell>
          <cell r="C3674">
            <v>17.66</v>
          </cell>
        </row>
        <row r="3675">
          <cell r="A3675" t="str">
            <v>G6345</v>
          </cell>
          <cell r="B3675" t="str">
            <v>D</v>
          </cell>
          <cell r="C3675">
            <v>19.489999999999998</v>
          </cell>
        </row>
        <row r="3676">
          <cell r="A3676" t="str">
            <v>G6346</v>
          </cell>
          <cell r="B3676" t="str">
            <v>D</v>
          </cell>
          <cell r="C3676">
            <v>31.28</v>
          </cell>
        </row>
        <row r="3677">
          <cell r="A3677" t="str">
            <v>G6347</v>
          </cell>
          <cell r="B3677" t="str">
            <v>D</v>
          </cell>
          <cell r="C3677">
            <v>35.43</v>
          </cell>
        </row>
        <row r="3678">
          <cell r="A3678" t="str">
            <v>G6351</v>
          </cell>
          <cell r="B3678" t="str">
            <v>D</v>
          </cell>
          <cell r="C3678">
            <v>21.26</v>
          </cell>
        </row>
        <row r="3679">
          <cell r="A3679" t="str">
            <v>G6352</v>
          </cell>
          <cell r="B3679" t="str">
            <v>D</v>
          </cell>
          <cell r="C3679">
            <v>6.79</v>
          </cell>
        </row>
        <row r="3680">
          <cell r="A3680" t="str">
            <v>G6353</v>
          </cell>
          <cell r="B3680" t="str">
            <v>D</v>
          </cell>
          <cell r="C3680">
            <v>32.06</v>
          </cell>
        </row>
        <row r="3681">
          <cell r="A3681" t="str">
            <v>LFF6354</v>
          </cell>
          <cell r="B3681" t="str">
            <v>N</v>
          </cell>
          <cell r="C3681">
            <v>21.18</v>
          </cell>
        </row>
        <row r="3682">
          <cell r="A3682" t="str">
            <v>G6355</v>
          </cell>
          <cell r="B3682" t="str">
            <v>D</v>
          </cell>
          <cell r="C3682">
            <v>30.3</v>
          </cell>
        </row>
        <row r="3683">
          <cell r="A3683" t="str">
            <v>G6356</v>
          </cell>
          <cell r="B3683" t="str">
            <v>D</v>
          </cell>
          <cell r="C3683">
            <v>30.9</v>
          </cell>
        </row>
        <row r="3684">
          <cell r="A3684" t="str">
            <v>G6357</v>
          </cell>
          <cell r="B3684" t="str">
            <v>D</v>
          </cell>
          <cell r="C3684">
            <v>29.72</v>
          </cell>
        </row>
        <row r="3685">
          <cell r="A3685" t="str">
            <v>G6358</v>
          </cell>
          <cell r="B3685" t="str">
            <v>D</v>
          </cell>
          <cell r="C3685">
            <v>41.58</v>
          </cell>
        </row>
        <row r="3686">
          <cell r="A3686" t="str">
            <v>G6359</v>
          </cell>
          <cell r="B3686" t="str">
            <v>D</v>
          </cell>
          <cell r="C3686">
            <v>32.67</v>
          </cell>
        </row>
        <row r="3687">
          <cell r="A3687" t="str">
            <v>G6360</v>
          </cell>
          <cell r="B3687" t="str">
            <v>D</v>
          </cell>
          <cell r="C3687">
            <v>18.29</v>
          </cell>
        </row>
        <row r="3688">
          <cell r="A3688" t="str">
            <v>G6361</v>
          </cell>
          <cell r="B3688" t="str">
            <v>D</v>
          </cell>
          <cell r="C3688">
            <v>25.09</v>
          </cell>
        </row>
        <row r="3689">
          <cell r="A3689" t="str">
            <v>G6363</v>
          </cell>
          <cell r="B3689" t="str">
            <v>D</v>
          </cell>
          <cell r="C3689">
            <v>31.68</v>
          </cell>
        </row>
        <row r="3690">
          <cell r="A3690" t="str">
            <v>G6364</v>
          </cell>
          <cell r="B3690" t="str">
            <v>D</v>
          </cell>
          <cell r="C3690">
            <v>30.49</v>
          </cell>
        </row>
        <row r="3691">
          <cell r="A3691" t="str">
            <v>G6365</v>
          </cell>
          <cell r="B3691" t="str">
            <v>D</v>
          </cell>
          <cell r="C3691">
            <v>21</v>
          </cell>
        </row>
        <row r="3692">
          <cell r="A3692" t="str">
            <v>G6366</v>
          </cell>
          <cell r="B3692" t="str">
            <v>D</v>
          </cell>
          <cell r="C3692">
            <v>45.1</v>
          </cell>
        </row>
        <row r="3693">
          <cell r="A3693" t="str">
            <v>G6367</v>
          </cell>
          <cell r="B3693" t="str">
            <v>B</v>
          </cell>
          <cell r="C3693">
            <v>10.07</v>
          </cell>
        </row>
        <row r="3694">
          <cell r="A3694" t="str">
            <v>G6368</v>
          </cell>
          <cell r="B3694" t="str">
            <v>D</v>
          </cell>
          <cell r="C3694">
            <v>26.61</v>
          </cell>
        </row>
        <row r="3695">
          <cell r="A3695" t="str">
            <v>G6369</v>
          </cell>
          <cell r="B3695" t="str">
            <v>D</v>
          </cell>
          <cell r="C3695">
            <v>32.08</v>
          </cell>
        </row>
        <row r="3696">
          <cell r="A3696" t="str">
            <v>G6370</v>
          </cell>
          <cell r="B3696" t="str">
            <v>D</v>
          </cell>
          <cell r="C3696">
            <v>31.46</v>
          </cell>
        </row>
        <row r="3697">
          <cell r="A3697" t="str">
            <v>G6371</v>
          </cell>
          <cell r="B3697" t="str">
            <v>D</v>
          </cell>
          <cell r="C3697">
            <v>27.01</v>
          </cell>
        </row>
        <row r="3698">
          <cell r="A3698" t="str">
            <v>G6373</v>
          </cell>
          <cell r="B3698" t="str">
            <v>D</v>
          </cell>
          <cell r="C3698">
            <v>28.76</v>
          </cell>
        </row>
        <row r="3699">
          <cell r="A3699" t="str">
            <v>G6374</v>
          </cell>
          <cell r="B3699" t="str">
            <v>D</v>
          </cell>
          <cell r="C3699">
            <v>22.3</v>
          </cell>
        </row>
        <row r="3700">
          <cell r="A3700" t="str">
            <v>G6375</v>
          </cell>
          <cell r="B3700" t="str">
            <v>D</v>
          </cell>
          <cell r="C3700">
            <v>23.54</v>
          </cell>
        </row>
        <row r="3701">
          <cell r="A3701" t="str">
            <v>G6376</v>
          </cell>
          <cell r="B3701" t="str">
            <v>D</v>
          </cell>
          <cell r="C3701">
            <v>29.71</v>
          </cell>
        </row>
        <row r="3702">
          <cell r="A3702" t="str">
            <v>G6377</v>
          </cell>
          <cell r="B3702" t="str">
            <v>D</v>
          </cell>
          <cell r="C3702">
            <v>32.479999999999997</v>
          </cell>
        </row>
        <row r="3703">
          <cell r="A3703" t="str">
            <v>G6378</v>
          </cell>
          <cell r="B3703" t="str">
            <v>C</v>
          </cell>
          <cell r="C3703">
            <v>15.16</v>
          </cell>
        </row>
        <row r="3704">
          <cell r="A3704" t="str">
            <v>G6379</v>
          </cell>
          <cell r="B3704" t="str">
            <v>D</v>
          </cell>
          <cell r="C3704">
            <v>5.93</v>
          </cell>
        </row>
        <row r="3705">
          <cell r="A3705" t="str">
            <v>G6380</v>
          </cell>
          <cell r="B3705" t="str">
            <v>D</v>
          </cell>
          <cell r="C3705">
            <v>41.52</v>
          </cell>
        </row>
        <row r="3706">
          <cell r="A3706" t="str">
            <v>G6381</v>
          </cell>
          <cell r="B3706" t="str">
            <v>C</v>
          </cell>
          <cell r="C3706">
            <v>23.89</v>
          </cell>
        </row>
        <row r="3707">
          <cell r="A3707" t="str">
            <v>G6382</v>
          </cell>
          <cell r="B3707" t="str">
            <v>D</v>
          </cell>
          <cell r="C3707">
            <v>30.36</v>
          </cell>
        </row>
        <row r="3708">
          <cell r="A3708" t="str">
            <v>G6384</v>
          </cell>
          <cell r="B3708" t="str">
            <v>D</v>
          </cell>
          <cell r="C3708">
            <v>15.16</v>
          </cell>
        </row>
        <row r="3709">
          <cell r="A3709" t="str">
            <v>G6385</v>
          </cell>
          <cell r="B3709" t="str">
            <v>D</v>
          </cell>
          <cell r="C3709">
            <v>28.96</v>
          </cell>
        </row>
        <row r="3710">
          <cell r="A3710" t="str">
            <v>G6386</v>
          </cell>
          <cell r="B3710" t="str">
            <v>D</v>
          </cell>
          <cell r="C3710">
            <v>26</v>
          </cell>
        </row>
        <row r="3711">
          <cell r="A3711" t="str">
            <v>G6387</v>
          </cell>
          <cell r="B3711" t="str">
            <v>D</v>
          </cell>
          <cell r="C3711">
            <v>19.07</v>
          </cell>
        </row>
        <row r="3712">
          <cell r="A3712" t="str">
            <v>G6388</v>
          </cell>
          <cell r="B3712" t="str">
            <v>D</v>
          </cell>
          <cell r="C3712">
            <v>28.1</v>
          </cell>
        </row>
        <row r="3713">
          <cell r="A3713" t="str">
            <v>G6389</v>
          </cell>
          <cell r="B3713" t="str">
            <v>C</v>
          </cell>
          <cell r="C3713">
            <v>21.85</v>
          </cell>
        </row>
        <row r="3714">
          <cell r="A3714" t="str">
            <v>G6393</v>
          </cell>
          <cell r="B3714" t="str">
            <v>D</v>
          </cell>
          <cell r="C3714">
            <v>16.71</v>
          </cell>
        </row>
        <row r="3715">
          <cell r="A3715" t="str">
            <v>G6394</v>
          </cell>
          <cell r="B3715" t="str">
            <v>D</v>
          </cell>
          <cell r="C3715">
            <v>24.78</v>
          </cell>
        </row>
        <row r="3716">
          <cell r="A3716" t="str">
            <v>G6396</v>
          </cell>
          <cell r="B3716" t="str">
            <v>D</v>
          </cell>
          <cell r="C3716">
            <v>28.89</v>
          </cell>
        </row>
        <row r="3717">
          <cell r="A3717" t="str">
            <v>G6397</v>
          </cell>
          <cell r="B3717" t="str">
            <v>D</v>
          </cell>
          <cell r="C3717">
            <v>30.81</v>
          </cell>
        </row>
        <row r="3718">
          <cell r="A3718" t="str">
            <v>G6398</v>
          </cell>
          <cell r="B3718" t="str">
            <v>C</v>
          </cell>
          <cell r="C3718">
            <v>34.08</v>
          </cell>
        </row>
        <row r="3719">
          <cell r="A3719" t="str">
            <v>G6399</v>
          </cell>
          <cell r="B3719" t="str">
            <v>D</v>
          </cell>
          <cell r="C3719">
            <v>15.2</v>
          </cell>
        </row>
        <row r="3720">
          <cell r="A3720" t="str">
            <v>G6400</v>
          </cell>
          <cell r="B3720" t="str">
            <v>D</v>
          </cell>
          <cell r="C3720">
            <v>29.21</v>
          </cell>
        </row>
        <row r="3721">
          <cell r="A3721" t="str">
            <v>LAF6401</v>
          </cell>
          <cell r="B3721" t="str">
            <v>D</v>
          </cell>
          <cell r="C3721">
            <v>23.26</v>
          </cell>
        </row>
        <row r="3722">
          <cell r="A3722" t="str">
            <v>LAF6404</v>
          </cell>
          <cell r="B3722" t="str">
            <v>D</v>
          </cell>
          <cell r="C3722">
            <v>64.61</v>
          </cell>
        </row>
        <row r="3723">
          <cell r="A3723" t="str">
            <v>LAF6412</v>
          </cell>
          <cell r="B3723" t="str">
            <v>D</v>
          </cell>
          <cell r="C3723">
            <v>142.80000000000001</v>
          </cell>
        </row>
        <row r="3724">
          <cell r="A3724" t="str">
            <v>LH6418</v>
          </cell>
          <cell r="B3724" t="str">
            <v>N</v>
          </cell>
          <cell r="C3724">
            <v>12.64</v>
          </cell>
        </row>
        <row r="3725">
          <cell r="A3725" t="str">
            <v>LAF6442</v>
          </cell>
          <cell r="B3725" t="str">
            <v>D</v>
          </cell>
          <cell r="C3725">
            <v>152.1</v>
          </cell>
        </row>
        <row r="3726">
          <cell r="A3726" t="str">
            <v>LAF6453</v>
          </cell>
          <cell r="B3726" t="str">
            <v>D</v>
          </cell>
          <cell r="C3726">
            <v>131.59</v>
          </cell>
        </row>
        <row r="3727">
          <cell r="A3727" t="str">
            <v>LAF6453MXM</v>
          </cell>
          <cell r="B3727" t="str">
            <v>D</v>
          </cell>
          <cell r="C3727">
            <v>157.9</v>
          </cell>
        </row>
        <row r="3728">
          <cell r="A3728" t="str">
            <v>LH6489</v>
          </cell>
          <cell r="B3728" t="str">
            <v>D</v>
          </cell>
          <cell r="C3728">
            <v>100.62</v>
          </cell>
        </row>
        <row r="3729">
          <cell r="A3729" t="str">
            <v>LFW6500</v>
          </cell>
          <cell r="B3729" t="str">
            <v>B</v>
          </cell>
          <cell r="C3729">
            <v>77.91</v>
          </cell>
        </row>
        <row r="3730">
          <cell r="A3730" t="str">
            <v>LFW6501</v>
          </cell>
          <cell r="B3730" t="str">
            <v>D</v>
          </cell>
          <cell r="C3730">
            <v>88.15</v>
          </cell>
        </row>
        <row r="3731">
          <cell r="A3731" t="str">
            <v>LFW6502</v>
          </cell>
          <cell r="B3731" t="str">
            <v>D</v>
          </cell>
          <cell r="C3731">
            <v>84.39</v>
          </cell>
        </row>
        <row r="3732">
          <cell r="A3732" t="str">
            <v>LAF6510</v>
          </cell>
          <cell r="B3732" t="str">
            <v>D</v>
          </cell>
          <cell r="C3732">
            <v>50.11</v>
          </cell>
        </row>
        <row r="3733">
          <cell r="A3733" t="str">
            <v>G6511</v>
          </cell>
          <cell r="B3733" t="str">
            <v>D</v>
          </cell>
          <cell r="C3733">
            <v>35.74</v>
          </cell>
        </row>
        <row r="3734">
          <cell r="A3734" t="str">
            <v>G6514</v>
          </cell>
          <cell r="B3734" t="str">
            <v>D</v>
          </cell>
          <cell r="C3734">
            <v>38.11</v>
          </cell>
        </row>
        <row r="3735">
          <cell r="A3735" t="str">
            <v>G6519</v>
          </cell>
          <cell r="B3735" t="str">
            <v>D</v>
          </cell>
          <cell r="C3735">
            <v>28.61</v>
          </cell>
        </row>
        <row r="3736">
          <cell r="A3736" t="str">
            <v>G6526</v>
          </cell>
          <cell r="B3736" t="str">
            <v>D</v>
          </cell>
          <cell r="C3736">
            <v>35.64</v>
          </cell>
        </row>
        <row r="3737">
          <cell r="A3737" t="str">
            <v>G6527</v>
          </cell>
          <cell r="B3737" t="str">
            <v>D</v>
          </cell>
          <cell r="C3737">
            <v>35.99</v>
          </cell>
        </row>
        <row r="3738">
          <cell r="A3738" t="str">
            <v>G6529</v>
          </cell>
          <cell r="B3738" t="str">
            <v>D</v>
          </cell>
          <cell r="C3738">
            <v>5.71</v>
          </cell>
        </row>
        <row r="3739">
          <cell r="A3739" t="str">
            <v>G6530</v>
          </cell>
          <cell r="B3739" t="str">
            <v>D</v>
          </cell>
          <cell r="C3739">
            <v>43.46</v>
          </cell>
        </row>
        <row r="3740">
          <cell r="A3740" t="str">
            <v>G6531</v>
          </cell>
          <cell r="B3740" t="str">
            <v>D</v>
          </cell>
          <cell r="C3740">
            <v>41.97</v>
          </cell>
        </row>
        <row r="3741">
          <cell r="A3741" t="str">
            <v>G6532</v>
          </cell>
          <cell r="B3741" t="str">
            <v>D</v>
          </cell>
          <cell r="C3741">
            <v>28.34</v>
          </cell>
        </row>
        <row r="3742">
          <cell r="A3742" t="str">
            <v>G6535</v>
          </cell>
          <cell r="B3742" t="str">
            <v>D</v>
          </cell>
          <cell r="C3742">
            <v>25.8</v>
          </cell>
        </row>
        <row r="3743">
          <cell r="A3743" t="str">
            <v>G6536</v>
          </cell>
          <cell r="B3743" t="str">
            <v>D</v>
          </cell>
          <cell r="C3743">
            <v>28.78</v>
          </cell>
        </row>
        <row r="3744">
          <cell r="A3744" t="str">
            <v>G6537</v>
          </cell>
          <cell r="B3744" t="str">
            <v>C</v>
          </cell>
          <cell r="C3744">
            <v>29.64</v>
          </cell>
        </row>
        <row r="3745">
          <cell r="A3745" t="str">
            <v>G6538</v>
          </cell>
          <cell r="B3745" t="str">
            <v>D</v>
          </cell>
          <cell r="C3745">
            <v>33.03</v>
          </cell>
        </row>
        <row r="3746">
          <cell r="A3746" t="str">
            <v>G6539</v>
          </cell>
          <cell r="B3746" t="str">
            <v>D</v>
          </cell>
          <cell r="C3746">
            <v>33.380000000000003</v>
          </cell>
        </row>
        <row r="3747">
          <cell r="A3747" t="str">
            <v>G6540</v>
          </cell>
          <cell r="B3747" t="str">
            <v>D</v>
          </cell>
          <cell r="C3747">
            <v>30.73</v>
          </cell>
        </row>
        <row r="3748">
          <cell r="A3748" t="str">
            <v>G6541</v>
          </cell>
          <cell r="B3748" t="str">
            <v>D</v>
          </cell>
          <cell r="C3748">
            <v>29.47</v>
          </cell>
        </row>
        <row r="3749">
          <cell r="A3749" t="str">
            <v>G6542</v>
          </cell>
          <cell r="B3749" t="str">
            <v>D</v>
          </cell>
          <cell r="C3749">
            <v>35.08</v>
          </cell>
        </row>
        <row r="3750">
          <cell r="A3750" t="str">
            <v>G6543</v>
          </cell>
          <cell r="B3750" t="str">
            <v>D</v>
          </cell>
          <cell r="C3750">
            <v>36.43</v>
          </cell>
        </row>
        <row r="3751">
          <cell r="A3751" t="str">
            <v>G6547</v>
          </cell>
          <cell r="B3751" t="str">
            <v>D</v>
          </cell>
          <cell r="C3751">
            <v>38.909999999999997</v>
          </cell>
        </row>
        <row r="3752">
          <cell r="A3752" t="str">
            <v>G6548</v>
          </cell>
          <cell r="B3752" t="str">
            <v>D</v>
          </cell>
          <cell r="C3752">
            <v>42.29</v>
          </cell>
        </row>
        <row r="3753">
          <cell r="A3753" t="str">
            <v>G6549</v>
          </cell>
          <cell r="B3753" t="str">
            <v>D</v>
          </cell>
          <cell r="C3753">
            <v>39.340000000000003</v>
          </cell>
        </row>
        <row r="3754">
          <cell r="A3754" t="str">
            <v>G6552</v>
          </cell>
          <cell r="B3754" t="str">
            <v>D</v>
          </cell>
          <cell r="C3754">
            <v>45.29</v>
          </cell>
        </row>
        <row r="3755">
          <cell r="A3755" t="str">
            <v>G6553</v>
          </cell>
          <cell r="B3755" t="str">
            <v>D</v>
          </cell>
          <cell r="C3755">
            <v>55.48</v>
          </cell>
        </row>
        <row r="3756">
          <cell r="A3756" t="str">
            <v>G6563</v>
          </cell>
          <cell r="B3756" t="str">
            <v>D</v>
          </cell>
          <cell r="C3756">
            <v>50.4</v>
          </cell>
        </row>
        <row r="3757">
          <cell r="A3757" t="str">
            <v>G6567</v>
          </cell>
          <cell r="B3757" t="str">
            <v>D</v>
          </cell>
          <cell r="C3757">
            <v>47.3</v>
          </cell>
        </row>
        <row r="3758">
          <cell r="A3758" t="str">
            <v>G6570</v>
          </cell>
          <cell r="B3758" t="str">
            <v>D</v>
          </cell>
          <cell r="C3758">
            <v>36.04</v>
          </cell>
        </row>
        <row r="3759">
          <cell r="A3759" t="str">
            <v>G6571</v>
          </cell>
          <cell r="B3759" t="str">
            <v>D</v>
          </cell>
          <cell r="C3759">
            <v>51.92</v>
          </cell>
        </row>
        <row r="3760">
          <cell r="A3760" t="str">
            <v>G6574</v>
          </cell>
          <cell r="B3760" t="str">
            <v>D</v>
          </cell>
          <cell r="C3760">
            <v>46.41</v>
          </cell>
        </row>
        <row r="3761">
          <cell r="A3761" t="str">
            <v>G6575</v>
          </cell>
          <cell r="B3761" t="str">
            <v>D</v>
          </cell>
          <cell r="C3761">
            <v>34.15</v>
          </cell>
        </row>
        <row r="3762">
          <cell r="A3762" t="str">
            <v>G6578</v>
          </cell>
          <cell r="B3762" t="str">
            <v>D</v>
          </cell>
          <cell r="C3762">
            <v>34.67</v>
          </cell>
        </row>
        <row r="3763">
          <cell r="A3763" t="str">
            <v>G6579</v>
          </cell>
          <cell r="B3763" t="str">
            <v>D</v>
          </cell>
          <cell r="C3763">
            <v>25.07</v>
          </cell>
        </row>
        <row r="3764">
          <cell r="A3764" t="str">
            <v>G6580</v>
          </cell>
          <cell r="B3764" t="str">
            <v>D</v>
          </cell>
          <cell r="C3764">
            <v>45.23</v>
          </cell>
        </row>
        <row r="3765">
          <cell r="A3765" t="str">
            <v>G6582</v>
          </cell>
          <cell r="B3765" t="str">
            <v>D</v>
          </cell>
          <cell r="C3765">
            <v>48.39</v>
          </cell>
        </row>
        <row r="3766">
          <cell r="A3766" t="str">
            <v>G6584</v>
          </cell>
          <cell r="B3766" t="str">
            <v>D</v>
          </cell>
          <cell r="C3766">
            <v>41.03</v>
          </cell>
        </row>
        <row r="3767">
          <cell r="A3767" t="str">
            <v>G6585</v>
          </cell>
          <cell r="B3767" t="str">
            <v>D</v>
          </cell>
          <cell r="C3767">
            <v>39</v>
          </cell>
        </row>
        <row r="3768">
          <cell r="A3768" t="str">
            <v>G6586</v>
          </cell>
          <cell r="B3768" t="str">
            <v>D</v>
          </cell>
          <cell r="C3768">
            <v>34.53</v>
          </cell>
        </row>
        <row r="3769">
          <cell r="A3769" t="str">
            <v>LAF6587</v>
          </cell>
          <cell r="B3769" t="str">
            <v>B</v>
          </cell>
          <cell r="C3769">
            <v>43.81</v>
          </cell>
        </row>
        <row r="3770">
          <cell r="A3770" t="str">
            <v>LAF6587MXM</v>
          </cell>
          <cell r="B3770" t="str">
            <v>N</v>
          </cell>
          <cell r="C3770">
            <v>65.23</v>
          </cell>
        </row>
        <row r="3771">
          <cell r="A3771" t="str">
            <v>G6588</v>
          </cell>
          <cell r="B3771" t="str">
            <v>D</v>
          </cell>
          <cell r="C3771">
            <v>45.41</v>
          </cell>
        </row>
        <row r="3772">
          <cell r="A3772" t="str">
            <v>G6590</v>
          </cell>
          <cell r="B3772" t="str">
            <v>D</v>
          </cell>
          <cell r="C3772">
            <v>32.6</v>
          </cell>
        </row>
        <row r="3773">
          <cell r="A3773" t="str">
            <v>G6591</v>
          </cell>
          <cell r="B3773" t="str">
            <v>D</v>
          </cell>
          <cell r="C3773">
            <v>29.31</v>
          </cell>
        </row>
        <row r="3774">
          <cell r="A3774" t="str">
            <v>G6593</v>
          </cell>
          <cell r="B3774" t="str">
            <v>B</v>
          </cell>
          <cell r="C3774">
            <v>14.36</v>
          </cell>
        </row>
        <row r="3775">
          <cell r="A3775" t="str">
            <v>G6595</v>
          </cell>
          <cell r="B3775" t="str">
            <v>D</v>
          </cell>
          <cell r="C3775">
            <v>41.38</v>
          </cell>
        </row>
        <row r="3776">
          <cell r="A3776" t="str">
            <v>G6597</v>
          </cell>
          <cell r="B3776" t="str">
            <v>D</v>
          </cell>
          <cell r="C3776">
            <v>25.79</v>
          </cell>
        </row>
        <row r="3777">
          <cell r="A3777" t="str">
            <v>G6598</v>
          </cell>
          <cell r="B3777" t="str">
            <v>D</v>
          </cell>
          <cell r="C3777">
            <v>21.97</v>
          </cell>
        </row>
        <row r="3778">
          <cell r="A3778" t="str">
            <v>G6599</v>
          </cell>
          <cell r="B3778" t="str">
            <v>D</v>
          </cell>
          <cell r="C3778">
            <v>40.71</v>
          </cell>
        </row>
        <row r="3779">
          <cell r="A3779" t="str">
            <v>G6626</v>
          </cell>
          <cell r="B3779" t="str">
            <v>D</v>
          </cell>
          <cell r="C3779">
            <v>34.32</v>
          </cell>
        </row>
        <row r="3780">
          <cell r="A3780" t="str">
            <v>G6627</v>
          </cell>
          <cell r="B3780" t="str">
            <v>D</v>
          </cell>
          <cell r="C3780">
            <v>24.33</v>
          </cell>
        </row>
        <row r="3781">
          <cell r="A3781" t="str">
            <v>G6628</v>
          </cell>
          <cell r="B3781" t="str">
            <v>D</v>
          </cell>
          <cell r="C3781">
            <v>125.53</v>
          </cell>
        </row>
        <row r="3782">
          <cell r="A3782" t="str">
            <v>G6629</v>
          </cell>
          <cell r="B3782" t="str">
            <v>D</v>
          </cell>
          <cell r="C3782">
            <v>29.71</v>
          </cell>
        </row>
        <row r="3783">
          <cell r="A3783" t="str">
            <v>G6630</v>
          </cell>
          <cell r="B3783" t="str">
            <v>D</v>
          </cell>
          <cell r="C3783">
            <v>67.540000000000006</v>
          </cell>
        </row>
        <row r="3784">
          <cell r="A3784" t="str">
            <v>G6631</v>
          </cell>
          <cell r="B3784" t="str">
            <v>D</v>
          </cell>
          <cell r="C3784">
            <v>14.93</v>
          </cell>
        </row>
        <row r="3785">
          <cell r="A3785" t="str">
            <v>LAF6632</v>
          </cell>
          <cell r="B3785" t="str">
            <v>D</v>
          </cell>
          <cell r="C3785">
            <v>61.1</v>
          </cell>
        </row>
        <row r="3786">
          <cell r="A3786" t="str">
            <v>LAF6632MXM</v>
          </cell>
          <cell r="B3786" t="str">
            <v>N</v>
          </cell>
          <cell r="C3786">
            <v>90</v>
          </cell>
        </row>
        <row r="3787">
          <cell r="A3787" t="str">
            <v>G6633</v>
          </cell>
          <cell r="B3787" t="str">
            <v>D</v>
          </cell>
          <cell r="C3787">
            <v>128.51</v>
          </cell>
        </row>
        <row r="3788">
          <cell r="A3788" t="str">
            <v>G6634</v>
          </cell>
          <cell r="B3788" t="str">
            <v>D</v>
          </cell>
          <cell r="C3788">
            <v>20.079999999999998</v>
          </cell>
        </row>
        <row r="3789">
          <cell r="A3789" t="str">
            <v>G6635</v>
          </cell>
          <cell r="B3789" t="str">
            <v>D</v>
          </cell>
          <cell r="C3789">
            <v>12.84</v>
          </cell>
        </row>
        <row r="3790">
          <cell r="A3790" t="str">
            <v>G6636</v>
          </cell>
          <cell r="B3790" t="str">
            <v>D</v>
          </cell>
          <cell r="C3790">
            <v>14.81</v>
          </cell>
        </row>
        <row r="3791">
          <cell r="A3791" t="str">
            <v>G6640</v>
          </cell>
          <cell r="B3791" t="str">
            <v>D</v>
          </cell>
          <cell r="C3791">
            <v>16.23</v>
          </cell>
        </row>
        <row r="3792">
          <cell r="A3792" t="str">
            <v>LAF6641</v>
          </cell>
          <cell r="B3792" t="str">
            <v>D</v>
          </cell>
          <cell r="C3792">
            <v>46.59</v>
          </cell>
        </row>
        <row r="3793">
          <cell r="A3793" t="str">
            <v>G6642</v>
          </cell>
          <cell r="B3793" t="str">
            <v>D</v>
          </cell>
          <cell r="C3793">
            <v>58.04</v>
          </cell>
        </row>
        <row r="3794">
          <cell r="A3794" t="str">
            <v>G6643</v>
          </cell>
          <cell r="B3794" t="str">
            <v>D</v>
          </cell>
          <cell r="C3794">
            <v>17.2</v>
          </cell>
        </row>
        <row r="3795">
          <cell r="A3795" t="str">
            <v>G6647</v>
          </cell>
          <cell r="B3795" t="str">
            <v>D</v>
          </cell>
          <cell r="C3795">
            <v>16.66</v>
          </cell>
        </row>
        <row r="3796">
          <cell r="A3796" t="str">
            <v>LH6649V</v>
          </cell>
          <cell r="B3796" t="str">
            <v>N</v>
          </cell>
          <cell r="C3796">
            <v>36.78</v>
          </cell>
        </row>
        <row r="3797">
          <cell r="A3797" t="str">
            <v>LAF6662</v>
          </cell>
          <cell r="B3797" t="str">
            <v>D</v>
          </cell>
          <cell r="C3797">
            <v>90.84</v>
          </cell>
        </row>
        <row r="3798">
          <cell r="A3798" t="str">
            <v>LAF6663</v>
          </cell>
          <cell r="B3798" t="str">
            <v>A</v>
          </cell>
          <cell r="C3798">
            <v>87.79</v>
          </cell>
        </row>
        <row r="3799">
          <cell r="A3799" t="str">
            <v>LAF6664</v>
          </cell>
          <cell r="B3799" t="str">
            <v>C</v>
          </cell>
          <cell r="C3799">
            <v>56.32</v>
          </cell>
        </row>
        <row r="3800">
          <cell r="A3800" t="str">
            <v>LAF6680</v>
          </cell>
          <cell r="B3800" t="str">
            <v>D</v>
          </cell>
          <cell r="C3800">
            <v>43.59</v>
          </cell>
        </row>
        <row r="3801">
          <cell r="A3801" t="str">
            <v>LAF6681</v>
          </cell>
          <cell r="B3801" t="str">
            <v>D</v>
          </cell>
          <cell r="C3801">
            <v>63.95</v>
          </cell>
        </row>
        <row r="3802">
          <cell r="A3802" t="str">
            <v>LAF6682</v>
          </cell>
          <cell r="B3802" t="str">
            <v>D</v>
          </cell>
          <cell r="C3802">
            <v>111.44</v>
          </cell>
        </row>
        <row r="3803">
          <cell r="A3803" t="str">
            <v>LAF6683</v>
          </cell>
          <cell r="B3803" t="str">
            <v>D</v>
          </cell>
          <cell r="C3803">
            <v>85.96</v>
          </cell>
        </row>
        <row r="3804">
          <cell r="A3804" t="str">
            <v>LAF6684</v>
          </cell>
          <cell r="B3804" t="str">
            <v>D</v>
          </cell>
          <cell r="C3804">
            <v>110.39</v>
          </cell>
        </row>
        <row r="3805">
          <cell r="A3805" t="str">
            <v>PH6714</v>
          </cell>
          <cell r="B3805" t="str">
            <v>D</v>
          </cell>
          <cell r="C3805">
            <v>23.03</v>
          </cell>
        </row>
        <row r="3806">
          <cell r="A3806" t="str">
            <v>PH6715</v>
          </cell>
          <cell r="B3806" t="str">
            <v>D</v>
          </cell>
          <cell r="C3806">
            <v>9.89</v>
          </cell>
        </row>
        <row r="3807">
          <cell r="A3807" t="str">
            <v>LAF6725</v>
          </cell>
          <cell r="B3807" t="str">
            <v>N</v>
          </cell>
          <cell r="C3807">
            <v>264.12</v>
          </cell>
        </row>
        <row r="3808">
          <cell r="A3808" t="str">
            <v>LFF6753</v>
          </cell>
          <cell r="B3808" t="str">
            <v>N</v>
          </cell>
          <cell r="C3808">
            <v>24.53</v>
          </cell>
        </row>
        <row r="3809">
          <cell r="A3809" t="str">
            <v>LAF6769</v>
          </cell>
          <cell r="B3809" t="str">
            <v>C</v>
          </cell>
          <cell r="C3809">
            <v>45.17</v>
          </cell>
        </row>
        <row r="3810">
          <cell r="A3810" t="str">
            <v>LAF6769MXM</v>
          </cell>
          <cell r="B3810" t="str">
            <v>N</v>
          </cell>
          <cell r="C3810">
            <v>72.38</v>
          </cell>
        </row>
        <row r="3811">
          <cell r="A3811" t="str">
            <v>LFF6770</v>
          </cell>
          <cell r="B3811" t="str">
            <v>C</v>
          </cell>
          <cell r="C3811">
            <v>48.45</v>
          </cell>
        </row>
        <row r="3812">
          <cell r="A3812" t="str">
            <v>LFF6771</v>
          </cell>
          <cell r="B3812" t="str">
            <v>D</v>
          </cell>
          <cell r="C3812">
            <v>50.71</v>
          </cell>
        </row>
        <row r="3813">
          <cell r="A3813" t="str">
            <v>LFF6771SC</v>
          </cell>
          <cell r="B3813" t="str">
            <v>N</v>
          </cell>
          <cell r="C3813">
            <v>49.59</v>
          </cell>
        </row>
        <row r="3814">
          <cell r="A3814" t="str">
            <v>LFF6776</v>
          </cell>
          <cell r="B3814" t="str">
            <v>B</v>
          </cell>
          <cell r="C3814">
            <v>56.78</v>
          </cell>
        </row>
        <row r="3815">
          <cell r="A3815" t="str">
            <v>L6806F</v>
          </cell>
          <cell r="B3815" t="str">
            <v>B</v>
          </cell>
          <cell r="C3815">
            <v>58.37</v>
          </cell>
        </row>
        <row r="3816">
          <cell r="A3816" t="str">
            <v>LFH6812</v>
          </cell>
          <cell r="B3816" t="str">
            <v>D</v>
          </cell>
          <cell r="C3816">
            <v>68.09</v>
          </cell>
        </row>
        <row r="3817">
          <cell r="A3817" t="str">
            <v>LFF6816</v>
          </cell>
          <cell r="B3817" t="str">
            <v>D</v>
          </cell>
          <cell r="C3817">
            <v>11.11</v>
          </cell>
        </row>
        <row r="3818">
          <cell r="A3818" t="str">
            <v>LFF6816XL</v>
          </cell>
          <cell r="B3818" t="str">
            <v>C</v>
          </cell>
          <cell r="C3818">
            <v>17.600000000000001</v>
          </cell>
        </row>
        <row r="3819">
          <cell r="A3819" t="str">
            <v>G6831</v>
          </cell>
          <cell r="B3819" t="str">
            <v>D</v>
          </cell>
          <cell r="C3819">
            <v>11.51</v>
          </cell>
        </row>
        <row r="3820">
          <cell r="A3820" t="str">
            <v>LAF6834</v>
          </cell>
          <cell r="B3820" t="str">
            <v>B</v>
          </cell>
          <cell r="C3820">
            <v>30.34</v>
          </cell>
        </row>
        <row r="3821">
          <cell r="A3821" t="str">
            <v>G6847</v>
          </cell>
          <cell r="B3821" t="str">
            <v>D</v>
          </cell>
          <cell r="C3821">
            <v>9.0500000000000007</v>
          </cell>
        </row>
        <row r="3822">
          <cell r="A3822" t="str">
            <v>LAF6860</v>
          </cell>
          <cell r="B3822" t="str">
            <v>D</v>
          </cell>
          <cell r="C3822">
            <v>56.9</v>
          </cell>
        </row>
        <row r="3823">
          <cell r="A3823" t="str">
            <v>LH6861V</v>
          </cell>
          <cell r="B3823" t="str">
            <v>N</v>
          </cell>
          <cell r="C3823">
            <v>34.82</v>
          </cell>
        </row>
        <row r="3824">
          <cell r="A3824" t="str">
            <v>G6872</v>
          </cell>
          <cell r="B3824" t="str">
            <v>D</v>
          </cell>
          <cell r="C3824">
            <v>19.510000000000002</v>
          </cell>
        </row>
        <row r="3825">
          <cell r="A3825" t="str">
            <v>LAF6880</v>
          </cell>
          <cell r="B3825" t="str">
            <v>B</v>
          </cell>
          <cell r="C3825">
            <v>74.69</v>
          </cell>
        </row>
        <row r="3826">
          <cell r="A3826" t="str">
            <v>LAF6889</v>
          </cell>
          <cell r="B3826" t="str">
            <v>N</v>
          </cell>
          <cell r="C3826">
            <v>107.59</v>
          </cell>
        </row>
        <row r="3827">
          <cell r="A3827" t="str">
            <v>G6896</v>
          </cell>
          <cell r="B3827" t="str">
            <v>D</v>
          </cell>
          <cell r="C3827">
            <v>9.2899999999999991</v>
          </cell>
        </row>
        <row r="3828">
          <cell r="A3828" t="str">
            <v>G6897</v>
          </cell>
          <cell r="B3828" t="str">
            <v>D</v>
          </cell>
          <cell r="C3828">
            <v>10.97</v>
          </cell>
        </row>
        <row r="3829">
          <cell r="A3829" t="str">
            <v>LH6899V</v>
          </cell>
          <cell r="B3829" t="str">
            <v>N</v>
          </cell>
          <cell r="C3829">
            <v>213.35</v>
          </cell>
        </row>
        <row r="3830">
          <cell r="A3830" t="str">
            <v>AF6900</v>
          </cell>
          <cell r="B3830" t="str">
            <v>D</v>
          </cell>
          <cell r="C3830">
            <v>20.63</v>
          </cell>
        </row>
        <row r="3831">
          <cell r="A3831" t="str">
            <v>LAF6902</v>
          </cell>
          <cell r="B3831" t="str">
            <v>A</v>
          </cell>
          <cell r="C3831">
            <v>31.58</v>
          </cell>
        </row>
        <row r="3832">
          <cell r="A3832" t="str">
            <v>LAF6907</v>
          </cell>
          <cell r="B3832" t="str">
            <v>N</v>
          </cell>
          <cell r="C3832">
            <v>24.45</v>
          </cell>
        </row>
        <row r="3833">
          <cell r="A3833" t="str">
            <v>AF6908</v>
          </cell>
          <cell r="B3833" t="str">
            <v>N</v>
          </cell>
          <cell r="C3833">
            <v>19.309999999999999</v>
          </cell>
        </row>
        <row r="3834">
          <cell r="A3834" t="str">
            <v>AF6910</v>
          </cell>
          <cell r="B3834" t="str">
            <v>N</v>
          </cell>
          <cell r="C3834">
            <v>11.52</v>
          </cell>
        </row>
        <row r="3835">
          <cell r="A3835" t="str">
            <v>L6916F</v>
          </cell>
          <cell r="B3835" t="str">
            <v>N</v>
          </cell>
          <cell r="C3835">
            <v>23.85</v>
          </cell>
        </row>
        <row r="3836">
          <cell r="A3836" t="str">
            <v>LAF6918</v>
          </cell>
          <cell r="B3836" t="str">
            <v>B</v>
          </cell>
          <cell r="C3836">
            <v>72.17</v>
          </cell>
        </row>
        <row r="3837">
          <cell r="A3837" t="str">
            <v>LAF6918D</v>
          </cell>
          <cell r="B3837" t="str">
            <v>D</v>
          </cell>
          <cell r="C3837">
            <v>78.08</v>
          </cell>
        </row>
        <row r="3838">
          <cell r="A3838" t="str">
            <v>LAF6922</v>
          </cell>
          <cell r="B3838" t="str">
            <v>B</v>
          </cell>
          <cell r="C3838">
            <v>57.2</v>
          </cell>
        </row>
        <row r="3839">
          <cell r="A3839" t="str">
            <v>LAF6923</v>
          </cell>
          <cell r="B3839" t="str">
            <v>B</v>
          </cell>
          <cell r="C3839">
            <v>36.82</v>
          </cell>
        </row>
        <row r="3840">
          <cell r="A3840" t="str">
            <v>LFF6924</v>
          </cell>
          <cell r="B3840" t="str">
            <v>N</v>
          </cell>
          <cell r="C3840">
            <v>36.71</v>
          </cell>
        </row>
        <row r="3841">
          <cell r="A3841" t="str">
            <v>LFF6925</v>
          </cell>
          <cell r="B3841" t="str">
            <v>D</v>
          </cell>
          <cell r="C3841">
            <v>27.56</v>
          </cell>
        </row>
        <row r="3842">
          <cell r="A3842" t="str">
            <v>LMB6926</v>
          </cell>
          <cell r="B3842" t="str">
            <v>D</v>
          </cell>
          <cell r="C3842">
            <v>42.72</v>
          </cell>
        </row>
        <row r="3843">
          <cell r="A3843" t="str">
            <v>LFF6929</v>
          </cell>
          <cell r="B3843" t="str">
            <v>N</v>
          </cell>
          <cell r="C3843">
            <v>95.83</v>
          </cell>
        </row>
        <row r="3844">
          <cell r="A3844" t="str">
            <v>LFP6930</v>
          </cell>
          <cell r="B3844" t="str">
            <v>N</v>
          </cell>
          <cell r="C3844">
            <v>35.43</v>
          </cell>
        </row>
        <row r="3845">
          <cell r="A3845" t="str">
            <v>LFF6961</v>
          </cell>
          <cell r="B3845" t="str">
            <v>N</v>
          </cell>
          <cell r="C3845">
            <v>44.07</v>
          </cell>
        </row>
        <row r="3846">
          <cell r="A3846" t="str">
            <v>LFF6962</v>
          </cell>
          <cell r="B3846" t="str">
            <v>N</v>
          </cell>
          <cell r="C3846">
            <v>53.57</v>
          </cell>
        </row>
        <row r="3847">
          <cell r="A3847" t="str">
            <v>LFF6963</v>
          </cell>
          <cell r="B3847" t="str">
            <v>N</v>
          </cell>
          <cell r="C3847">
            <v>132.33000000000001</v>
          </cell>
        </row>
        <row r="3848">
          <cell r="A3848" t="str">
            <v>LFF6964</v>
          </cell>
          <cell r="B3848" t="str">
            <v>N</v>
          </cell>
          <cell r="C3848">
            <v>131.09</v>
          </cell>
        </row>
        <row r="3849">
          <cell r="A3849" t="str">
            <v>LFF6965</v>
          </cell>
          <cell r="B3849" t="str">
            <v>N</v>
          </cell>
          <cell r="C3849">
            <v>11.95</v>
          </cell>
        </row>
        <row r="3850">
          <cell r="A3850" t="str">
            <v>LAF6966</v>
          </cell>
          <cell r="B3850" t="str">
            <v>D</v>
          </cell>
          <cell r="C3850">
            <v>31.34</v>
          </cell>
        </row>
        <row r="3851">
          <cell r="A3851" t="str">
            <v>LH6979V</v>
          </cell>
          <cell r="B3851" t="str">
            <v>N</v>
          </cell>
          <cell r="C3851">
            <v>139.19</v>
          </cell>
        </row>
        <row r="3852">
          <cell r="A3852" t="str">
            <v>LAF6986</v>
          </cell>
          <cell r="B3852" t="str">
            <v>N</v>
          </cell>
          <cell r="C3852">
            <v>201.86</v>
          </cell>
        </row>
        <row r="3853">
          <cell r="A3853" t="str">
            <v>LH6988V</v>
          </cell>
          <cell r="B3853" t="str">
            <v>N</v>
          </cell>
          <cell r="C3853">
            <v>213.51</v>
          </cell>
        </row>
        <row r="3854">
          <cell r="A3854" t="str">
            <v>LAF6998</v>
          </cell>
          <cell r="B3854" t="str">
            <v>D</v>
          </cell>
          <cell r="C3854">
            <v>243.57</v>
          </cell>
        </row>
        <row r="3855">
          <cell r="A3855" t="str">
            <v>LAF6998MXM</v>
          </cell>
          <cell r="B3855" t="str">
            <v>N</v>
          </cell>
          <cell r="C3855">
            <v>80.45</v>
          </cell>
        </row>
        <row r="3856">
          <cell r="A3856" t="str">
            <v>LAF6999</v>
          </cell>
          <cell r="B3856" t="str">
            <v>N</v>
          </cell>
          <cell r="C3856">
            <v>74.150000000000006</v>
          </cell>
        </row>
        <row r="3857">
          <cell r="A3857" t="str">
            <v>P7000</v>
          </cell>
          <cell r="B3857" t="str">
            <v>D</v>
          </cell>
          <cell r="C3857">
            <v>7.68</v>
          </cell>
        </row>
        <row r="3858">
          <cell r="A3858" t="str">
            <v>P7001</v>
          </cell>
          <cell r="B3858" t="str">
            <v>D</v>
          </cell>
          <cell r="C3858">
            <v>7.93</v>
          </cell>
        </row>
        <row r="3859">
          <cell r="A3859" t="str">
            <v>P7003</v>
          </cell>
          <cell r="B3859" t="str">
            <v>D</v>
          </cell>
          <cell r="C3859">
            <v>9.18</v>
          </cell>
        </row>
        <row r="3860">
          <cell r="A3860" t="str">
            <v>P7005</v>
          </cell>
          <cell r="B3860" t="str">
            <v>D</v>
          </cell>
          <cell r="C3860">
            <v>8.66</v>
          </cell>
        </row>
        <row r="3861">
          <cell r="A3861" t="str">
            <v>P7007</v>
          </cell>
          <cell r="B3861" t="str">
            <v>D</v>
          </cell>
          <cell r="C3861">
            <v>6.7</v>
          </cell>
        </row>
        <row r="3862">
          <cell r="A3862" t="str">
            <v>P7009</v>
          </cell>
          <cell r="B3862" t="str">
            <v>D</v>
          </cell>
          <cell r="C3862">
            <v>8.94</v>
          </cell>
        </row>
        <row r="3863">
          <cell r="A3863" t="str">
            <v>P7011</v>
          </cell>
          <cell r="B3863" t="str">
            <v>D</v>
          </cell>
          <cell r="C3863">
            <v>9.2899999999999991</v>
          </cell>
        </row>
        <row r="3864">
          <cell r="A3864" t="str">
            <v>P7012</v>
          </cell>
          <cell r="B3864" t="str">
            <v>D</v>
          </cell>
          <cell r="C3864">
            <v>8.61</v>
          </cell>
        </row>
        <row r="3865">
          <cell r="A3865" t="str">
            <v>P7013</v>
          </cell>
          <cell r="B3865" t="str">
            <v>D</v>
          </cell>
          <cell r="C3865">
            <v>7.51</v>
          </cell>
        </row>
        <row r="3866">
          <cell r="A3866" t="str">
            <v>PH7014</v>
          </cell>
          <cell r="B3866" t="str">
            <v>D</v>
          </cell>
          <cell r="C3866">
            <v>9.0500000000000007</v>
          </cell>
        </row>
        <row r="3867">
          <cell r="A3867" t="str">
            <v>PH7016</v>
          </cell>
          <cell r="B3867" t="str">
            <v>D</v>
          </cell>
          <cell r="C3867">
            <v>8.6300000000000008</v>
          </cell>
        </row>
        <row r="3868">
          <cell r="A3868" t="str">
            <v>PH7018</v>
          </cell>
          <cell r="B3868" t="str">
            <v>D</v>
          </cell>
          <cell r="C3868">
            <v>5.97</v>
          </cell>
        </row>
        <row r="3869">
          <cell r="A3869" t="str">
            <v>P7019</v>
          </cell>
          <cell r="B3869" t="str">
            <v>D</v>
          </cell>
          <cell r="C3869">
            <v>17.920000000000002</v>
          </cell>
        </row>
        <row r="3870">
          <cell r="A3870" t="str">
            <v>PH7022</v>
          </cell>
          <cell r="B3870" t="str">
            <v>D</v>
          </cell>
          <cell r="C3870">
            <v>21.03</v>
          </cell>
        </row>
        <row r="3871">
          <cell r="A3871" t="str">
            <v>PH7024</v>
          </cell>
          <cell r="B3871" t="str">
            <v>D</v>
          </cell>
          <cell r="C3871">
            <v>9.56</v>
          </cell>
        </row>
        <row r="3872">
          <cell r="A3872" t="str">
            <v>PH7025</v>
          </cell>
          <cell r="B3872" t="str">
            <v>D</v>
          </cell>
          <cell r="C3872">
            <v>20.71</v>
          </cell>
        </row>
        <row r="3873">
          <cell r="A3873" t="str">
            <v>P7027</v>
          </cell>
          <cell r="B3873" t="str">
            <v>D</v>
          </cell>
          <cell r="C3873">
            <v>8.61</v>
          </cell>
        </row>
        <row r="3874">
          <cell r="A3874" t="str">
            <v>PH7028</v>
          </cell>
          <cell r="B3874" t="str">
            <v>D</v>
          </cell>
          <cell r="C3874">
            <v>13.27</v>
          </cell>
        </row>
        <row r="3875">
          <cell r="A3875" t="str">
            <v>AF7033</v>
          </cell>
          <cell r="B3875" t="str">
            <v>D</v>
          </cell>
          <cell r="C3875">
            <v>35.9</v>
          </cell>
        </row>
        <row r="3876">
          <cell r="A3876" t="str">
            <v>LH7035V</v>
          </cell>
          <cell r="B3876" t="str">
            <v>N</v>
          </cell>
          <cell r="C3876">
            <v>103.41</v>
          </cell>
        </row>
        <row r="3877">
          <cell r="A3877" t="str">
            <v>LH7040</v>
          </cell>
          <cell r="B3877" t="str">
            <v>N</v>
          </cell>
          <cell r="C3877">
            <v>244.8</v>
          </cell>
        </row>
        <row r="3878">
          <cell r="A3878" t="str">
            <v>LH7041V</v>
          </cell>
          <cell r="B3878" t="str">
            <v>N</v>
          </cell>
          <cell r="C3878">
            <v>65.349999999999994</v>
          </cell>
        </row>
        <row r="3879">
          <cell r="A3879" t="str">
            <v>LH7042V</v>
          </cell>
          <cell r="B3879" t="str">
            <v>N</v>
          </cell>
          <cell r="C3879">
            <v>53.3</v>
          </cell>
        </row>
        <row r="3880">
          <cell r="A3880" t="str">
            <v>LH7048V</v>
          </cell>
          <cell r="B3880" t="str">
            <v>N</v>
          </cell>
          <cell r="C3880">
            <v>96.92</v>
          </cell>
        </row>
        <row r="3881">
          <cell r="A3881" t="str">
            <v>LH7083</v>
          </cell>
          <cell r="B3881" t="str">
            <v>N</v>
          </cell>
          <cell r="C3881">
            <v>42.38</v>
          </cell>
        </row>
        <row r="3882">
          <cell r="A3882" t="str">
            <v>LH7084</v>
          </cell>
          <cell r="B3882" t="str">
            <v>N</v>
          </cell>
          <cell r="C3882">
            <v>42.37</v>
          </cell>
        </row>
        <row r="3883">
          <cell r="A3883" t="str">
            <v>LAF7092</v>
          </cell>
          <cell r="B3883" t="str">
            <v>D</v>
          </cell>
          <cell r="C3883">
            <v>135.44999999999999</v>
          </cell>
        </row>
        <row r="3884">
          <cell r="A3884" t="str">
            <v>LFP7164</v>
          </cell>
          <cell r="B3884" t="str">
            <v>N</v>
          </cell>
          <cell r="C3884">
            <v>24.73</v>
          </cell>
        </row>
        <row r="3885">
          <cell r="A3885" t="str">
            <v>LFP7181</v>
          </cell>
          <cell r="B3885" t="str">
            <v>N</v>
          </cell>
          <cell r="C3885">
            <v>10.33</v>
          </cell>
        </row>
        <row r="3886">
          <cell r="A3886" t="str">
            <v>LAF7185</v>
          </cell>
          <cell r="B3886" t="str">
            <v>D</v>
          </cell>
          <cell r="C3886">
            <v>80.819999999999993</v>
          </cell>
        </row>
        <row r="3887">
          <cell r="A3887" t="str">
            <v>LFP7217</v>
          </cell>
          <cell r="B3887" t="str">
            <v>D</v>
          </cell>
          <cell r="C3887">
            <v>24.3</v>
          </cell>
        </row>
        <row r="3888">
          <cell r="A3888" t="str">
            <v>LFH7221</v>
          </cell>
          <cell r="B3888" t="str">
            <v>N</v>
          </cell>
          <cell r="C3888">
            <v>37.86</v>
          </cell>
        </row>
        <row r="3889">
          <cell r="A3889" t="str">
            <v>LAF7234</v>
          </cell>
          <cell r="B3889" t="str">
            <v>D</v>
          </cell>
          <cell r="C3889">
            <v>58.89</v>
          </cell>
        </row>
        <row r="3890">
          <cell r="A3890" t="str">
            <v>L7264F</v>
          </cell>
          <cell r="B3890" t="str">
            <v>C</v>
          </cell>
          <cell r="C3890">
            <v>26.09</v>
          </cell>
        </row>
        <row r="3891">
          <cell r="A3891" t="str">
            <v>LFF7284</v>
          </cell>
          <cell r="B3891" t="str">
            <v>N</v>
          </cell>
          <cell r="C3891">
            <v>59.15</v>
          </cell>
        </row>
        <row r="3892">
          <cell r="A3892" t="str">
            <v>LAF7313</v>
          </cell>
          <cell r="B3892" t="str">
            <v>D</v>
          </cell>
          <cell r="C3892">
            <v>66.41</v>
          </cell>
        </row>
        <row r="3893">
          <cell r="A3893" t="str">
            <v>LFP7314</v>
          </cell>
          <cell r="B3893" t="str">
            <v>N</v>
          </cell>
          <cell r="C3893">
            <v>27.71</v>
          </cell>
        </row>
        <row r="3894">
          <cell r="A3894" t="str">
            <v>LAF7315</v>
          </cell>
          <cell r="B3894" t="str">
            <v>D</v>
          </cell>
          <cell r="C3894">
            <v>41.51</v>
          </cell>
        </row>
        <row r="3895">
          <cell r="A3895" t="str">
            <v>LP7329</v>
          </cell>
          <cell r="B3895" t="str">
            <v>D</v>
          </cell>
          <cell r="C3895">
            <v>52.03</v>
          </cell>
        </row>
        <row r="3896">
          <cell r="A3896" t="str">
            <v>LP7329XL</v>
          </cell>
          <cell r="B3896" t="str">
            <v>D</v>
          </cell>
          <cell r="C3896">
            <v>62.12</v>
          </cell>
        </row>
        <row r="3897">
          <cell r="A3897" t="str">
            <v>LP7330</v>
          </cell>
          <cell r="B3897" t="str">
            <v>D</v>
          </cell>
          <cell r="C3897">
            <v>70.17</v>
          </cell>
        </row>
        <row r="3898">
          <cell r="A3898" t="str">
            <v>LFH7355</v>
          </cell>
          <cell r="B3898" t="str">
            <v>D</v>
          </cell>
          <cell r="C3898">
            <v>35.33</v>
          </cell>
        </row>
        <row r="3899">
          <cell r="A3899" t="str">
            <v>LAF7358</v>
          </cell>
          <cell r="B3899" t="str">
            <v>D</v>
          </cell>
          <cell r="C3899">
            <v>85.76</v>
          </cell>
        </row>
        <row r="3900">
          <cell r="A3900" t="str">
            <v>LAF7360</v>
          </cell>
          <cell r="B3900" t="str">
            <v>D</v>
          </cell>
          <cell r="C3900">
            <v>46.93</v>
          </cell>
        </row>
        <row r="3901">
          <cell r="A3901" t="str">
            <v>AF7365</v>
          </cell>
          <cell r="B3901" t="str">
            <v>D</v>
          </cell>
          <cell r="C3901">
            <v>41.88</v>
          </cell>
        </row>
        <row r="3902">
          <cell r="A3902" t="str">
            <v>AF7367</v>
          </cell>
          <cell r="B3902" t="str">
            <v>D</v>
          </cell>
          <cell r="C3902">
            <v>13.77</v>
          </cell>
        </row>
        <row r="3903">
          <cell r="A3903" t="str">
            <v>AF7369</v>
          </cell>
          <cell r="B3903" t="str">
            <v>D</v>
          </cell>
          <cell r="C3903">
            <v>89.48</v>
          </cell>
        </row>
        <row r="3904">
          <cell r="A3904" t="str">
            <v>AF7370</v>
          </cell>
          <cell r="B3904" t="str">
            <v>D</v>
          </cell>
          <cell r="C3904">
            <v>30.56</v>
          </cell>
        </row>
        <row r="3905">
          <cell r="A3905" t="str">
            <v>AF7375</v>
          </cell>
          <cell r="B3905" t="str">
            <v>D</v>
          </cell>
          <cell r="C3905">
            <v>20.72</v>
          </cell>
        </row>
        <row r="3906">
          <cell r="A3906" t="str">
            <v>AF7377</v>
          </cell>
          <cell r="B3906" t="str">
            <v>D</v>
          </cell>
          <cell r="C3906">
            <v>51.57</v>
          </cell>
        </row>
        <row r="3907">
          <cell r="A3907" t="str">
            <v>AF7378</v>
          </cell>
          <cell r="B3907" t="str">
            <v>D</v>
          </cell>
          <cell r="C3907">
            <v>23.95</v>
          </cell>
        </row>
        <row r="3908">
          <cell r="A3908" t="str">
            <v>AF7382</v>
          </cell>
          <cell r="B3908" t="str">
            <v>D</v>
          </cell>
          <cell r="C3908">
            <v>19.66</v>
          </cell>
        </row>
        <row r="3909">
          <cell r="A3909" t="str">
            <v>AF7391</v>
          </cell>
          <cell r="B3909" t="str">
            <v>D</v>
          </cell>
          <cell r="C3909">
            <v>69.430000000000007</v>
          </cell>
        </row>
        <row r="3910">
          <cell r="A3910" t="str">
            <v>LAF7413</v>
          </cell>
          <cell r="B3910" t="str">
            <v>D</v>
          </cell>
          <cell r="C3910">
            <v>74.91</v>
          </cell>
        </row>
        <row r="3911">
          <cell r="A3911" t="str">
            <v>LAF7413MXM</v>
          </cell>
          <cell r="B3911" t="str">
            <v>N</v>
          </cell>
          <cell r="C3911">
            <v>72.84</v>
          </cell>
        </row>
        <row r="3912">
          <cell r="A3912" t="str">
            <v>LP7319</v>
          </cell>
          <cell r="B3912" t="str">
            <v>D</v>
          </cell>
          <cell r="C3912">
            <v>42.48</v>
          </cell>
        </row>
        <row r="3913">
          <cell r="A3913" t="str">
            <v>LAF7414</v>
          </cell>
          <cell r="B3913" t="str">
            <v>D</v>
          </cell>
          <cell r="C3913">
            <v>50.82</v>
          </cell>
        </row>
        <row r="3914">
          <cell r="A3914" t="str">
            <v>LFF7415</v>
          </cell>
          <cell r="B3914" t="str">
            <v>D</v>
          </cell>
          <cell r="C3914">
            <v>43</v>
          </cell>
        </row>
        <row r="3915">
          <cell r="A3915" t="str">
            <v>LAF7417</v>
          </cell>
          <cell r="B3915" t="str">
            <v>D</v>
          </cell>
          <cell r="C3915">
            <v>89.69</v>
          </cell>
        </row>
        <row r="3916">
          <cell r="A3916" t="str">
            <v>LAF7455</v>
          </cell>
          <cell r="B3916" t="str">
            <v>D</v>
          </cell>
          <cell r="C3916">
            <v>160.47999999999999</v>
          </cell>
        </row>
        <row r="3917">
          <cell r="A3917" t="str">
            <v>LAF7456</v>
          </cell>
          <cell r="B3917" t="str">
            <v>D</v>
          </cell>
          <cell r="C3917">
            <v>156.08000000000001</v>
          </cell>
        </row>
        <row r="3918">
          <cell r="A3918" t="str">
            <v>LAF7472</v>
          </cell>
          <cell r="B3918" t="str">
            <v>D</v>
          </cell>
          <cell r="C3918">
            <v>82.32</v>
          </cell>
        </row>
        <row r="3919">
          <cell r="A3919" t="str">
            <v>LAF7482</v>
          </cell>
          <cell r="B3919" t="str">
            <v>D</v>
          </cell>
          <cell r="C3919">
            <v>81.75</v>
          </cell>
        </row>
        <row r="3920">
          <cell r="A3920" t="str">
            <v>LP7485</v>
          </cell>
          <cell r="B3920" t="str">
            <v>N</v>
          </cell>
          <cell r="C3920">
            <v>38.15</v>
          </cell>
        </row>
        <row r="3921">
          <cell r="A3921" t="str">
            <v>LP7498XL</v>
          </cell>
          <cell r="B3921" t="str">
            <v>N</v>
          </cell>
          <cell r="C3921">
            <v>78.010000000000005</v>
          </cell>
        </row>
        <row r="3922">
          <cell r="A3922" t="str">
            <v>LP7518</v>
          </cell>
          <cell r="B3922" t="str">
            <v>N</v>
          </cell>
          <cell r="C3922">
            <v>24.81</v>
          </cell>
        </row>
        <row r="3923">
          <cell r="A3923" t="str">
            <v>LH7528</v>
          </cell>
          <cell r="B3923" t="str">
            <v>N</v>
          </cell>
          <cell r="C3923">
            <v>19.46</v>
          </cell>
        </row>
        <row r="3924">
          <cell r="A3924" t="str">
            <v>LAF7530</v>
          </cell>
          <cell r="B3924" t="str">
            <v>D</v>
          </cell>
          <cell r="C3924">
            <v>40.6</v>
          </cell>
        </row>
        <row r="3925">
          <cell r="A3925" t="str">
            <v>LAF7531</v>
          </cell>
          <cell r="B3925" t="str">
            <v>D</v>
          </cell>
          <cell r="C3925">
            <v>38.11</v>
          </cell>
        </row>
        <row r="3926">
          <cell r="A3926" t="str">
            <v>LAF7533</v>
          </cell>
          <cell r="B3926" t="str">
            <v>D</v>
          </cell>
          <cell r="C3926">
            <v>27.29</v>
          </cell>
        </row>
        <row r="3927">
          <cell r="A3927" t="str">
            <v>LFH7551</v>
          </cell>
          <cell r="B3927" t="str">
            <v>D</v>
          </cell>
          <cell r="C3927">
            <v>101.52</v>
          </cell>
        </row>
        <row r="3928">
          <cell r="A3928" t="str">
            <v>LAF7640</v>
          </cell>
          <cell r="B3928" t="str">
            <v>B</v>
          </cell>
          <cell r="C3928">
            <v>33.76</v>
          </cell>
        </row>
        <row r="3929">
          <cell r="A3929" t="str">
            <v>LFF7660</v>
          </cell>
          <cell r="B3929" t="str">
            <v>N</v>
          </cell>
          <cell r="C3929">
            <v>48.43</v>
          </cell>
        </row>
        <row r="3930">
          <cell r="A3930" t="str">
            <v>L7662FK</v>
          </cell>
          <cell r="B3930" t="str">
            <v>N</v>
          </cell>
          <cell r="C3930">
            <v>107.73</v>
          </cell>
        </row>
        <row r="3931">
          <cell r="A3931" t="str">
            <v>LFF7686</v>
          </cell>
          <cell r="B3931" t="str">
            <v>D</v>
          </cell>
          <cell r="C3931">
            <v>16.149999999999999</v>
          </cell>
        </row>
        <row r="3932">
          <cell r="A3932" t="str">
            <v>LFF7687</v>
          </cell>
          <cell r="B3932" t="str">
            <v>N</v>
          </cell>
          <cell r="C3932">
            <v>15.72</v>
          </cell>
        </row>
        <row r="3933">
          <cell r="A3933" t="str">
            <v>LFF7688</v>
          </cell>
          <cell r="B3933" t="str">
            <v>N</v>
          </cell>
          <cell r="C3933">
            <v>18.21</v>
          </cell>
        </row>
        <row r="3934">
          <cell r="A3934" t="str">
            <v>LFF7689</v>
          </cell>
          <cell r="B3934" t="str">
            <v>N</v>
          </cell>
          <cell r="C3934">
            <v>37.130000000000003</v>
          </cell>
        </row>
        <row r="3935">
          <cell r="A3935" t="str">
            <v>L7693F</v>
          </cell>
          <cell r="B3935" t="str">
            <v>C</v>
          </cell>
          <cell r="C3935">
            <v>12.7</v>
          </cell>
        </row>
        <row r="3936">
          <cell r="A3936" t="str">
            <v>L7694F</v>
          </cell>
          <cell r="B3936" t="str">
            <v>B</v>
          </cell>
          <cell r="C3936">
            <v>34.130000000000003</v>
          </cell>
        </row>
        <row r="3937">
          <cell r="A3937" t="str">
            <v>CAF7700</v>
          </cell>
          <cell r="B3937" t="str">
            <v>D</v>
          </cell>
          <cell r="C3937">
            <v>23.89</v>
          </cell>
        </row>
        <row r="3938">
          <cell r="A3938" t="str">
            <v>CAF7701</v>
          </cell>
          <cell r="B3938" t="str">
            <v>D</v>
          </cell>
          <cell r="C3938">
            <v>13.22</v>
          </cell>
        </row>
        <row r="3939">
          <cell r="A3939" t="str">
            <v>CAF7702</v>
          </cell>
          <cell r="B3939" t="str">
            <v>B</v>
          </cell>
          <cell r="C3939">
            <v>26.56</v>
          </cell>
        </row>
        <row r="3940">
          <cell r="A3940" t="str">
            <v>CAF7703</v>
          </cell>
          <cell r="B3940" t="str">
            <v>D</v>
          </cell>
          <cell r="C3940">
            <v>39.67</v>
          </cell>
        </row>
        <row r="3941">
          <cell r="A3941" t="str">
            <v>CAF7704</v>
          </cell>
          <cell r="B3941" t="str">
            <v>D</v>
          </cell>
          <cell r="C3941">
            <v>45.24</v>
          </cell>
        </row>
        <row r="3942">
          <cell r="A3942" t="str">
            <v>CAF7705</v>
          </cell>
          <cell r="B3942" t="str">
            <v>D</v>
          </cell>
          <cell r="C3942">
            <v>22.01</v>
          </cell>
        </row>
        <row r="3943">
          <cell r="A3943" t="str">
            <v>CAF7706</v>
          </cell>
          <cell r="B3943" t="str">
            <v>D</v>
          </cell>
          <cell r="C3943">
            <v>17.829999999999998</v>
          </cell>
        </row>
        <row r="3944">
          <cell r="A3944" t="str">
            <v>CAF7707</v>
          </cell>
          <cell r="B3944" t="str">
            <v>D</v>
          </cell>
          <cell r="C3944">
            <v>40.380000000000003</v>
          </cell>
        </row>
        <row r="3945">
          <cell r="A3945" t="str">
            <v>CAF7708</v>
          </cell>
          <cell r="B3945" t="str">
            <v>D</v>
          </cell>
          <cell r="C3945">
            <v>33.549999999999997</v>
          </cell>
        </row>
        <row r="3946">
          <cell r="A3946" t="str">
            <v>CAF7709</v>
          </cell>
          <cell r="B3946" t="str">
            <v>D</v>
          </cell>
          <cell r="C3946">
            <v>18.899999999999999</v>
          </cell>
        </row>
        <row r="3947">
          <cell r="A3947" t="str">
            <v>CAF7711</v>
          </cell>
          <cell r="B3947" t="str">
            <v>D</v>
          </cell>
          <cell r="C3947">
            <v>35.229999999999997</v>
          </cell>
        </row>
        <row r="3948">
          <cell r="A3948" t="str">
            <v>CAF7712</v>
          </cell>
          <cell r="B3948" t="str">
            <v>D</v>
          </cell>
          <cell r="C3948">
            <v>36.340000000000003</v>
          </cell>
        </row>
        <row r="3949">
          <cell r="A3949" t="str">
            <v>CAF7713</v>
          </cell>
          <cell r="B3949" t="str">
            <v>D</v>
          </cell>
          <cell r="C3949">
            <v>30.89</v>
          </cell>
        </row>
        <row r="3950">
          <cell r="A3950" t="str">
            <v>CAF7715</v>
          </cell>
          <cell r="B3950" t="str">
            <v>D</v>
          </cell>
          <cell r="C3950">
            <v>26.39</v>
          </cell>
        </row>
        <row r="3951">
          <cell r="A3951" t="str">
            <v>LAF7716</v>
          </cell>
          <cell r="B3951" t="str">
            <v>D</v>
          </cell>
          <cell r="C3951">
            <v>50.92</v>
          </cell>
        </row>
        <row r="3952">
          <cell r="A3952" t="str">
            <v>LAF7716MXM</v>
          </cell>
          <cell r="B3952" t="str">
            <v>N</v>
          </cell>
          <cell r="C3952">
            <v>59.98</v>
          </cell>
        </row>
        <row r="3953">
          <cell r="A3953" t="str">
            <v>CAF7717</v>
          </cell>
          <cell r="B3953" t="str">
            <v>D</v>
          </cell>
          <cell r="C3953">
            <v>21.07</v>
          </cell>
        </row>
        <row r="3954">
          <cell r="A3954" t="str">
            <v>CAF7718</v>
          </cell>
          <cell r="B3954" t="str">
            <v>D</v>
          </cell>
          <cell r="C3954">
            <v>72.13</v>
          </cell>
        </row>
        <row r="3955">
          <cell r="A3955" t="str">
            <v>CAF7719</v>
          </cell>
          <cell r="B3955" t="str">
            <v>D</v>
          </cell>
          <cell r="C3955">
            <v>35.86</v>
          </cell>
        </row>
        <row r="3956">
          <cell r="A3956" t="str">
            <v>CAF7721</v>
          </cell>
          <cell r="B3956" t="str">
            <v>D</v>
          </cell>
          <cell r="C3956">
            <v>35.99</v>
          </cell>
        </row>
        <row r="3957">
          <cell r="A3957" t="str">
            <v>CAF7722</v>
          </cell>
          <cell r="B3957" t="str">
            <v>D</v>
          </cell>
          <cell r="C3957">
            <v>57.95</v>
          </cell>
        </row>
        <row r="3958">
          <cell r="A3958" t="str">
            <v>CAF7723</v>
          </cell>
          <cell r="B3958" t="str">
            <v>D</v>
          </cell>
          <cell r="C3958">
            <v>53.3</v>
          </cell>
        </row>
        <row r="3959">
          <cell r="A3959" t="str">
            <v>LAF7727</v>
          </cell>
          <cell r="B3959" t="str">
            <v>D</v>
          </cell>
          <cell r="C3959">
            <v>24.16</v>
          </cell>
        </row>
        <row r="3960">
          <cell r="A3960" t="str">
            <v>CAF7728</v>
          </cell>
          <cell r="B3960" t="str">
            <v>D</v>
          </cell>
          <cell r="C3960">
            <v>31.53</v>
          </cell>
        </row>
        <row r="3961">
          <cell r="A3961" t="str">
            <v>CAF7729</v>
          </cell>
          <cell r="B3961" t="str">
            <v>D</v>
          </cell>
          <cell r="C3961">
            <v>36.409999999999997</v>
          </cell>
        </row>
        <row r="3962">
          <cell r="A3962" t="str">
            <v>CAF7732</v>
          </cell>
          <cell r="B3962" t="str">
            <v>D</v>
          </cell>
          <cell r="C3962">
            <v>50.9</v>
          </cell>
        </row>
        <row r="3963">
          <cell r="A3963" t="str">
            <v>CAF7733</v>
          </cell>
          <cell r="B3963" t="str">
            <v>D</v>
          </cell>
          <cell r="C3963">
            <v>16.68</v>
          </cell>
        </row>
        <row r="3964">
          <cell r="A3964" t="str">
            <v>CAF7734</v>
          </cell>
          <cell r="B3964" t="str">
            <v>D</v>
          </cell>
          <cell r="C3964">
            <v>22.23</v>
          </cell>
        </row>
        <row r="3965">
          <cell r="A3965" t="str">
            <v>CAF7739</v>
          </cell>
          <cell r="B3965" t="str">
            <v>D</v>
          </cell>
          <cell r="C3965">
            <v>24.59</v>
          </cell>
        </row>
        <row r="3966">
          <cell r="A3966" t="str">
            <v>CAF7741</v>
          </cell>
          <cell r="B3966" t="str">
            <v>D</v>
          </cell>
          <cell r="C3966">
            <v>19.21</v>
          </cell>
        </row>
        <row r="3967">
          <cell r="A3967" t="str">
            <v>CAF7742</v>
          </cell>
          <cell r="B3967" t="str">
            <v>D</v>
          </cell>
          <cell r="C3967">
            <v>22.98</v>
          </cell>
        </row>
        <row r="3968">
          <cell r="A3968" t="str">
            <v>CAF7743</v>
          </cell>
          <cell r="B3968" t="str">
            <v>D</v>
          </cell>
          <cell r="C3968">
            <v>15.62</v>
          </cell>
        </row>
        <row r="3969">
          <cell r="A3969" t="str">
            <v>CAF7746</v>
          </cell>
          <cell r="B3969" t="str">
            <v>D</v>
          </cell>
          <cell r="C3969">
            <v>22.16</v>
          </cell>
        </row>
        <row r="3970">
          <cell r="A3970" t="str">
            <v>CAF7749</v>
          </cell>
          <cell r="B3970" t="str">
            <v>D</v>
          </cell>
          <cell r="C3970">
            <v>25.65</v>
          </cell>
        </row>
        <row r="3971">
          <cell r="A3971" t="str">
            <v>CAF7750</v>
          </cell>
          <cell r="B3971" t="str">
            <v>D</v>
          </cell>
          <cell r="C3971">
            <v>39.619999999999997</v>
          </cell>
        </row>
        <row r="3972">
          <cell r="A3972" t="str">
            <v>LAF7752</v>
          </cell>
          <cell r="B3972" t="str">
            <v>D</v>
          </cell>
          <cell r="C3972">
            <v>59.4</v>
          </cell>
        </row>
        <row r="3973">
          <cell r="A3973" t="str">
            <v>CAF7754</v>
          </cell>
          <cell r="B3973" t="str">
            <v>D</v>
          </cell>
          <cell r="C3973">
            <v>15.42</v>
          </cell>
        </row>
        <row r="3974">
          <cell r="A3974" t="str">
            <v>CAF7755</v>
          </cell>
          <cell r="B3974" t="str">
            <v>D</v>
          </cell>
          <cell r="C3974">
            <v>23.82</v>
          </cell>
        </row>
        <row r="3975">
          <cell r="A3975" t="str">
            <v>CAF7756</v>
          </cell>
          <cell r="B3975" t="str">
            <v>D</v>
          </cell>
          <cell r="C3975">
            <v>27.24</v>
          </cell>
        </row>
        <row r="3976">
          <cell r="A3976" t="str">
            <v>CAF7757</v>
          </cell>
          <cell r="B3976" t="str">
            <v>A</v>
          </cell>
          <cell r="C3976">
            <v>49</v>
          </cell>
        </row>
        <row r="3977">
          <cell r="A3977" t="str">
            <v>LAF7757</v>
          </cell>
          <cell r="B3977" t="str">
            <v>D</v>
          </cell>
          <cell r="C3977">
            <v>64.94</v>
          </cell>
        </row>
        <row r="3978">
          <cell r="A3978" t="str">
            <v>CAF7758</v>
          </cell>
          <cell r="B3978" t="str">
            <v>D</v>
          </cell>
          <cell r="C3978">
            <v>21.35</v>
          </cell>
        </row>
        <row r="3979">
          <cell r="A3979" t="str">
            <v>CAF7759</v>
          </cell>
          <cell r="B3979" t="str">
            <v>D</v>
          </cell>
          <cell r="C3979">
            <v>35.19</v>
          </cell>
        </row>
        <row r="3980">
          <cell r="A3980" t="str">
            <v>CAF7762</v>
          </cell>
          <cell r="B3980" t="str">
            <v>D</v>
          </cell>
          <cell r="C3980">
            <v>26.57</v>
          </cell>
        </row>
        <row r="3981">
          <cell r="A3981" t="str">
            <v>CAF7764</v>
          </cell>
          <cell r="B3981" t="str">
            <v>D</v>
          </cell>
          <cell r="C3981">
            <v>33.99</v>
          </cell>
        </row>
        <row r="3982">
          <cell r="A3982" t="str">
            <v>CAF7766</v>
          </cell>
          <cell r="B3982" t="str">
            <v>D</v>
          </cell>
          <cell r="C3982">
            <v>22.67</v>
          </cell>
        </row>
        <row r="3983">
          <cell r="A3983" t="str">
            <v>CAF7767</v>
          </cell>
          <cell r="B3983" t="str">
            <v>D</v>
          </cell>
          <cell r="C3983">
            <v>33.049999999999997</v>
          </cell>
        </row>
        <row r="3984">
          <cell r="A3984" t="str">
            <v>L7767F</v>
          </cell>
          <cell r="B3984" t="str">
            <v>D</v>
          </cell>
          <cell r="C3984">
            <v>48.51</v>
          </cell>
        </row>
        <row r="3985">
          <cell r="A3985" t="str">
            <v>CAF7769</v>
          </cell>
          <cell r="B3985" t="str">
            <v>D</v>
          </cell>
          <cell r="C3985">
            <v>26.71</v>
          </cell>
        </row>
        <row r="3986">
          <cell r="A3986" t="str">
            <v>CAF7770</v>
          </cell>
          <cell r="B3986" t="str">
            <v>D</v>
          </cell>
          <cell r="C3986">
            <v>29.26</v>
          </cell>
        </row>
        <row r="3987">
          <cell r="A3987" t="str">
            <v>CAF7771</v>
          </cell>
          <cell r="B3987" t="str">
            <v>D</v>
          </cell>
          <cell r="C3987">
            <v>17.239999999999998</v>
          </cell>
        </row>
        <row r="3988">
          <cell r="A3988" t="str">
            <v>CAF7779</v>
          </cell>
          <cell r="B3988" t="str">
            <v>D</v>
          </cell>
          <cell r="C3988">
            <v>38.85</v>
          </cell>
        </row>
        <row r="3989">
          <cell r="A3989" t="str">
            <v>CAF7781</v>
          </cell>
          <cell r="B3989" t="str">
            <v>D</v>
          </cell>
          <cell r="C3989">
            <v>28.79</v>
          </cell>
        </row>
        <row r="3990">
          <cell r="A3990" t="str">
            <v>CAF7782</v>
          </cell>
          <cell r="B3990" t="str">
            <v>D</v>
          </cell>
          <cell r="C3990">
            <v>21.74</v>
          </cell>
        </row>
        <row r="3991">
          <cell r="A3991" t="str">
            <v>CAF7783</v>
          </cell>
          <cell r="B3991" t="str">
            <v>D</v>
          </cell>
          <cell r="C3991">
            <v>33.39</v>
          </cell>
        </row>
        <row r="3992">
          <cell r="A3992" t="str">
            <v>CAF7786</v>
          </cell>
          <cell r="B3992" t="str">
            <v>D</v>
          </cell>
          <cell r="C3992">
            <v>36.89</v>
          </cell>
        </row>
        <row r="3993">
          <cell r="A3993" t="str">
            <v>CAF7787</v>
          </cell>
          <cell r="B3993" t="str">
            <v>D</v>
          </cell>
          <cell r="C3993">
            <v>49.04</v>
          </cell>
        </row>
        <row r="3994">
          <cell r="A3994" t="str">
            <v>CAF7788</v>
          </cell>
          <cell r="B3994" t="str">
            <v>D</v>
          </cell>
          <cell r="C3994">
            <v>29.61</v>
          </cell>
        </row>
        <row r="3995">
          <cell r="A3995" t="str">
            <v>CAF7789</v>
          </cell>
          <cell r="B3995" t="str">
            <v>D</v>
          </cell>
          <cell r="C3995">
            <v>28.74</v>
          </cell>
        </row>
        <row r="3996">
          <cell r="A3996" t="str">
            <v>CAF7790</v>
          </cell>
          <cell r="B3996" t="str">
            <v>D</v>
          </cell>
          <cell r="C3996">
            <v>27.12</v>
          </cell>
        </row>
        <row r="3997">
          <cell r="A3997" t="str">
            <v>CAF7791</v>
          </cell>
          <cell r="B3997" t="str">
            <v>D</v>
          </cell>
          <cell r="C3997">
            <v>19.760000000000002</v>
          </cell>
        </row>
        <row r="3998">
          <cell r="A3998" t="str">
            <v>CAF7792</v>
          </cell>
          <cell r="B3998" t="str">
            <v>D</v>
          </cell>
          <cell r="C3998">
            <v>14.15</v>
          </cell>
        </row>
        <row r="3999">
          <cell r="A3999" t="str">
            <v>CAF7793</v>
          </cell>
          <cell r="B3999" t="str">
            <v>D</v>
          </cell>
          <cell r="C3999">
            <v>24.71</v>
          </cell>
        </row>
        <row r="4000">
          <cell r="A4000" t="str">
            <v>CAF7795</v>
          </cell>
          <cell r="B4000" t="str">
            <v>D</v>
          </cell>
          <cell r="C4000">
            <v>39.770000000000003</v>
          </cell>
        </row>
        <row r="4001">
          <cell r="A4001" t="str">
            <v>CAF7796</v>
          </cell>
          <cell r="B4001" t="str">
            <v>D</v>
          </cell>
          <cell r="C4001">
            <v>35.65</v>
          </cell>
        </row>
        <row r="4002">
          <cell r="A4002" t="str">
            <v>LAF7797</v>
          </cell>
          <cell r="B4002" t="str">
            <v>B</v>
          </cell>
          <cell r="C4002">
            <v>49.58</v>
          </cell>
        </row>
        <row r="4003">
          <cell r="A4003" t="str">
            <v>CAF7798</v>
          </cell>
          <cell r="B4003" t="str">
            <v>D</v>
          </cell>
          <cell r="C4003">
            <v>32.270000000000003</v>
          </cell>
        </row>
        <row r="4004">
          <cell r="A4004" t="str">
            <v>CAF7799</v>
          </cell>
          <cell r="B4004" t="str">
            <v>D</v>
          </cell>
          <cell r="C4004">
            <v>15.45</v>
          </cell>
        </row>
        <row r="4005">
          <cell r="A4005" t="str">
            <v>AF7802</v>
          </cell>
          <cell r="B4005" t="str">
            <v>D</v>
          </cell>
          <cell r="C4005">
            <v>42.66</v>
          </cell>
        </row>
        <row r="4006">
          <cell r="A4006" t="str">
            <v>AF7803</v>
          </cell>
          <cell r="B4006" t="str">
            <v>D</v>
          </cell>
          <cell r="C4006">
            <v>3.36</v>
          </cell>
        </row>
        <row r="4007">
          <cell r="A4007" t="str">
            <v>AF7804</v>
          </cell>
          <cell r="B4007" t="str">
            <v>D</v>
          </cell>
          <cell r="C4007">
            <v>3.46</v>
          </cell>
        </row>
        <row r="4008">
          <cell r="A4008" t="str">
            <v>AF7805</v>
          </cell>
          <cell r="B4008" t="str">
            <v>D</v>
          </cell>
          <cell r="C4008">
            <v>3.49</v>
          </cell>
        </row>
        <row r="4009">
          <cell r="A4009" t="str">
            <v>AF7806</v>
          </cell>
          <cell r="B4009" t="str">
            <v>D</v>
          </cell>
          <cell r="C4009">
            <v>3.1</v>
          </cell>
        </row>
        <row r="4010">
          <cell r="A4010" t="str">
            <v>AF7807</v>
          </cell>
          <cell r="B4010" t="str">
            <v>D</v>
          </cell>
          <cell r="C4010">
            <v>3.96</v>
          </cell>
        </row>
        <row r="4011">
          <cell r="A4011" t="str">
            <v>AF7808</v>
          </cell>
          <cell r="B4011" t="str">
            <v>D</v>
          </cell>
          <cell r="C4011">
            <v>2.4500000000000002</v>
          </cell>
        </row>
        <row r="4012">
          <cell r="A4012" t="str">
            <v>AF7809</v>
          </cell>
          <cell r="B4012" t="str">
            <v>D</v>
          </cell>
          <cell r="C4012">
            <v>5.03</v>
          </cell>
        </row>
        <row r="4013">
          <cell r="A4013" t="str">
            <v>AF7810</v>
          </cell>
          <cell r="B4013" t="str">
            <v>D</v>
          </cell>
          <cell r="C4013">
            <v>2.4300000000000002</v>
          </cell>
        </row>
        <row r="4014">
          <cell r="A4014" t="str">
            <v>AF7811</v>
          </cell>
          <cell r="B4014" t="str">
            <v>D</v>
          </cell>
          <cell r="C4014">
            <v>3.66</v>
          </cell>
        </row>
        <row r="4015">
          <cell r="A4015" t="str">
            <v>AF7812</v>
          </cell>
          <cell r="B4015" t="str">
            <v>D</v>
          </cell>
          <cell r="C4015">
            <v>2.92</v>
          </cell>
        </row>
        <row r="4016">
          <cell r="A4016" t="str">
            <v>AF7813</v>
          </cell>
          <cell r="B4016" t="str">
            <v>D</v>
          </cell>
          <cell r="C4016">
            <v>3.04</v>
          </cell>
        </row>
        <row r="4017">
          <cell r="A4017" t="str">
            <v>AF7814</v>
          </cell>
          <cell r="B4017" t="str">
            <v>D</v>
          </cell>
          <cell r="C4017">
            <v>19.34</v>
          </cell>
        </row>
        <row r="4018">
          <cell r="A4018" t="str">
            <v>AF7815</v>
          </cell>
          <cell r="B4018" t="str">
            <v>D</v>
          </cell>
          <cell r="C4018">
            <v>2.72</v>
          </cell>
        </row>
        <row r="4019">
          <cell r="A4019" t="str">
            <v>AF7819</v>
          </cell>
          <cell r="B4019" t="str">
            <v>D</v>
          </cell>
          <cell r="C4019">
            <v>36.47</v>
          </cell>
        </row>
        <row r="4020">
          <cell r="A4020" t="str">
            <v>AF7820</v>
          </cell>
          <cell r="B4020" t="str">
            <v>D</v>
          </cell>
          <cell r="C4020">
            <v>35.159999999999997</v>
          </cell>
        </row>
        <row r="4021">
          <cell r="A4021" t="str">
            <v>AF7821</v>
          </cell>
          <cell r="B4021" t="str">
            <v>D</v>
          </cell>
          <cell r="C4021">
            <v>12.24</v>
          </cell>
        </row>
        <row r="4022">
          <cell r="A4022" t="str">
            <v>AF7823</v>
          </cell>
          <cell r="B4022" t="str">
            <v>A</v>
          </cell>
          <cell r="C4022">
            <v>16.09</v>
          </cell>
        </row>
        <row r="4023">
          <cell r="A4023" t="str">
            <v>AF7824</v>
          </cell>
          <cell r="B4023" t="str">
            <v>D</v>
          </cell>
          <cell r="C4023">
            <v>18.329999999999998</v>
          </cell>
        </row>
        <row r="4024">
          <cell r="A4024" t="str">
            <v>AF7825</v>
          </cell>
          <cell r="B4024" t="str">
            <v>D</v>
          </cell>
          <cell r="C4024">
            <v>19.59</v>
          </cell>
        </row>
        <row r="4025">
          <cell r="A4025" t="str">
            <v>AF7826</v>
          </cell>
          <cell r="B4025" t="str">
            <v>D</v>
          </cell>
          <cell r="C4025">
            <v>16.18</v>
          </cell>
        </row>
        <row r="4026">
          <cell r="A4026" t="str">
            <v>AF7827</v>
          </cell>
          <cell r="B4026" t="str">
            <v>D</v>
          </cell>
          <cell r="C4026">
            <v>27.8</v>
          </cell>
        </row>
        <row r="4027">
          <cell r="A4027" t="str">
            <v>AF7828</v>
          </cell>
          <cell r="B4027" t="str">
            <v>D</v>
          </cell>
          <cell r="C4027">
            <v>25.6</v>
          </cell>
        </row>
        <row r="4028">
          <cell r="A4028" t="str">
            <v>AF7831</v>
          </cell>
          <cell r="B4028" t="str">
            <v>D</v>
          </cell>
          <cell r="C4028">
            <v>31.46</v>
          </cell>
        </row>
        <row r="4029">
          <cell r="A4029" t="str">
            <v>AF7832</v>
          </cell>
          <cell r="B4029" t="str">
            <v>D</v>
          </cell>
          <cell r="C4029">
            <v>14.88</v>
          </cell>
        </row>
        <row r="4030">
          <cell r="A4030" t="str">
            <v>AF7833</v>
          </cell>
          <cell r="B4030" t="str">
            <v>D</v>
          </cell>
          <cell r="C4030">
            <v>27.54</v>
          </cell>
        </row>
        <row r="4031">
          <cell r="A4031" t="str">
            <v>AF7834</v>
          </cell>
          <cell r="B4031" t="str">
            <v>D</v>
          </cell>
          <cell r="C4031">
            <v>16.93</v>
          </cell>
        </row>
        <row r="4032">
          <cell r="A4032" t="str">
            <v>AF7835</v>
          </cell>
          <cell r="B4032" t="str">
            <v>D</v>
          </cell>
          <cell r="C4032">
            <v>17.059999999999999</v>
          </cell>
        </row>
        <row r="4033">
          <cell r="A4033" t="str">
            <v>AF7836</v>
          </cell>
          <cell r="B4033" t="str">
            <v>D</v>
          </cell>
          <cell r="C4033">
            <v>17.55</v>
          </cell>
        </row>
        <row r="4034">
          <cell r="A4034" t="str">
            <v>AF7837</v>
          </cell>
          <cell r="B4034" t="str">
            <v>D</v>
          </cell>
          <cell r="C4034">
            <v>36.21</v>
          </cell>
        </row>
        <row r="4035">
          <cell r="A4035" t="str">
            <v>AF7838</v>
          </cell>
          <cell r="B4035" t="str">
            <v>D</v>
          </cell>
          <cell r="C4035">
            <v>27.03</v>
          </cell>
        </row>
        <row r="4036">
          <cell r="A4036" t="str">
            <v>AF7839</v>
          </cell>
          <cell r="B4036" t="str">
            <v>D</v>
          </cell>
          <cell r="C4036">
            <v>35.9</v>
          </cell>
        </row>
        <row r="4037">
          <cell r="A4037" t="str">
            <v>AF7840</v>
          </cell>
          <cell r="B4037" t="str">
            <v>D</v>
          </cell>
          <cell r="C4037">
            <v>24.6</v>
          </cell>
        </row>
        <row r="4038">
          <cell r="A4038" t="str">
            <v>AF7841</v>
          </cell>
          <cell r="B4038" t="str">
            <v>B</v>
          </cell>
          <cell r="C4038">
            <v>23.46</v>
          </cell>
        </row>
        <row r="4039">
          <cell r="A4039" t="str">
            <v>AF7842</v>
          </cell>
          <cell r="B4039" t="str">
            <v>D</v>
          </cell>
          <cell r="C4039">
            <v>18.04</v>
          </cell>
        </row>
        <row r="4040">
          <cell r="A4040" t="str">
            <v>AF7843</v>
          </cell>
          <cell r="B4040" t="str">
            <v>D</v>
          </cell>
          <cell r="C4040">
            <v>25.12</v>
          </cell>
        </row>
        <row r="4041">
          <cell r="A4041" t="str">
            <v>AFB7844</v>
          </cell>
          <cell r="B4041" t="str">
            <v>D</v>
          </cell>
          <cell r="C4041">
            <v>6.88</v>
          </cell>
        </row>
        <row r="4042">
          <cell r="A4042" t="str">
            <v>AF7845</v>
          </cell>
          <cell r="B4042" t="str">
            <v>A</v>
          </cell>
          <cell r="C4042">
            <v>23.75</v>
          </cell>
        </row>
        <row r="4043">
          <cell r="A4043" t="str">
            <v>AFB7846</v>
          </cell>
          <cell r="B4043" t="str">
            <v>D</v>
          </cell>
          <cell r="C4043">
            <v>3.07</v>
          </cell>
        </row>
        <row r="4044">
          <cell r="A4044" t="str">
            <v>AFB7847</v>
          </cell>
          <cell r="B4044" t="str">
            <v>D</v>
          </cell>
          <cell r="C4044">
            <v>1.94</v>
          </cell>
        </row>
        <row r="4045">
          <cell r="A4045" t="str">
            <v>AFB7848</v>
          </cell>
          <cell r="B4045" t="str">
            <v>D</v>
          </cell>
          <cell r="C4045">
            <v>2.2400000000000002</v>
          </cell>
        </row>
        <row r="4046">
          <cell r="A4046" t="str">
            <v>AF7849</v>
          </cell>
          <cell r="B4046" t="str">
            <v>D</v>
          </cell>
          <cell r="C4046">
            <v>23.57</v>
          </cell>
        </row>
        <row r="4047">
          <cell r="A4047" t="str">
            <v>AF7850</v>
          </cell>
          <cell r="B4047" t="str">
            <v>D</v>
          </cell>
          <cell r="C4047">
            <v>21.86</v>
          </cell>
        </row>
        <row r="4048">
          <cell r="A4048" t="str">
            <v>AFB7852</v>
          </cell>
          <cell r="B4048" t="str">
            <v>D</v>
          </cell>
          <cell r="C4048">
            <v>2.97</v>
          </cell>
        </row>
        <row r="4049">
          <cell r="A4049" t="str">
            <v>AF7853</v>
          </cell>
          <cell r="B4049" t="str">
            <v>D</v>
          </cell>
          <cell r="C4049">
            <v>33.380000000000003</v>
          </cell>
        </row>
        <row r="4050">
          <cell r="A4050" t="str">
            <v>AF7854</v>
          </cell>
          <cell r="B4050" t="str">
            <v>D</v>
          </cell>
          <cell r="C4050">
            <v>10.41</v>
          </cell>
        </row>
        <row r="4051">
          <cell r="A4051" t="str">
            <v>AF7855</v>
          </cell>
          <cell r="B4051" t="str">
            <v>D</v>
          </cell>
          <cell r="C4051">
            <v>12.14</v>
          </cell>
        </row>
        <row r="4052">
          <cell r="A4052" t="str">
            <v>AF7856</v>
          </cell>
          <cell r="B4052" t="str">
            <v>D</v>
          </cell>
          <cell r="C4052">
            <v>15.11</v>
          </cell>
        </row>
        <row r="4053">
          <cell r="A4053" t="str">
            <v>AF7857</v>
          </cell>
          <cell r="B4053" t="str">
            <v>D</v>
          </cell>
          <cell r="C4053">
            <v>22.7</v>
          </cell>
        </row>
        <row r="4054">
          <cell r="A4054" t="str">
            <v>AF7858</v>
          </cell>
          <cell r="B4054" t="str">
            <v>D</v>
          </cell>
          <cell r="C4054">
            <v>16.190000000000001</v>
          </cell>
        </row>
        <row r="4055">
          <cell r="A4055" t="str">
            <v>AF7859</v>
          </cell>
          <cell r="B4055" t="str">
            <v>D</v>
          </cell>
          <cell r="C4055">
            <v>32.270000000000003</v>
          </cell>
        </row>
        <row r="4056">
          <cell r="A4056" t="str">
            <v>AFB7860</v>
          </cell>
          <cell r="B4056" t="str">
            <v>D</v>
          </cell>
          <cell r="C4056">
            <v>3.07</v>
          </cell>
        </row>
        <row r="4057">
          <cell r="A4057" t="str">
            <v>AF7861</v>
          </cell>
          <cell r="B4057" t="str">
            <v>D</v>
          </cell>
          <cell r="C4057">
            <v>35.65</v>
          </cell>
        </row>
        <row r="4058">
          <cell r="A4058" t="str">
            <v>AF7862</v>
          </cell>
          <cell r="B4058" t="str">
            <v>D</v>
          </cell>
          <cell r="C4058">
            <v>11.74</v>
          </cell>
        </row>
        <row r="4059">
          <cell r="A4059" t="str">
            <v>AF7863</v>
          </cell>
          <cell r="B4059" t="str">
            <v>B</v>
          </cell>
          <cell r="C4059">
            <v>15.11</v>
          </cell>
        </row>
        <row r="4060">
          <cell r="A4060" t="str">
            <v>AF7865</v>
          </cell>
          <cell r="B4060" t="str">
            <v>D</v>
          </cell>
          <cell r="C4060">
            <v>19.190000000000001</v>
          </cell>
        </row>
        <row r="4061">
          <cell r="A4061" t="str">
            <v>AF7866</v>
          </cell>
          <cell r="B4061" t="str">
            <v>D</v>
          </cell>
          <cell r="C4061">
            <v>38.33</v>
          </cell>
        </row>
        <row r="4062">
          <cell r="A4062" t="str">
            <v>AF7867</v>
          </cell>
          <cell r="B4062" t="str">
            <v>D</v>
          </cell>
          <cell r="C4062">
            <v>34.53</v>
          </cell>
        </row>
        <row r="4063">
          <cell r="A4063" t="str">
            <v>AF7868</v>
          </cell>
          <cell r="B4063" t="str">
            <v>D</v>
          </cell>
          <cell r="C4063">
            <v>28.39</v>
          </cell>
        </row>
        <row r="4064">
          <cell r="A4064" t="str">
            <v>AF7869</v>
          </cell>
          <cell r="B4064" t="str">
            <v>D</v>
          </cell>
          <cell r="C4064">
            <v>24.08</v>
          </cell>
        </row>
        <row r="4065">
          <cell r="A4065" t="str">
            <v>AF7870</v>
          </cell>
          <cell r="B4065" t="str">
            <v>D</v>
          </cell>
          <cell r="C4065">
            <v>26.92</v>
          </cell>
        </row>
        <row r="4066">
          <cell r="A4066" t="str">
            <v>AF7871</v>
          </cell>
          <cell r="B4066" t="str">
            <v>D</v>
          </cell>
          <cell r="C4066">
            <v>26.66</v>
          </cell>
        </row>
        <row r="4067">
          <cell r="A4067" t="str">
            <v>AF7872</v>
          </cell>
          <cell r="B4067" t="str">
            <v>B</v>
          </cell>
          <cell r="C4067">
            <v>11.06</v>
          </cell>
        </row>
        <row r="4068">
          <cell r="A4068" t="str">
            <v>AF7873</v>
          </cell>
          <cell r="B4068" t="str">
            <v>D</v>
          </cell>
          <cell r="C4068">
            <v>16.04</v>
          </cell>
        </row>
        <row r="4069">
          <cell r="A4069" t="str">
            <v>AF7874</v>
          </cell>
          <cell r="B4069" t="str">
            <v>D</v>
          </cell>
          <cell r="C4069">
            <v>18.34</v>
          </cell>
        </row>
        <row r="4070">
          <cell r="A4070" t="str">
            <v>AF7875</v>
          </cell>
          <cell r="B4070" t="str">
            <v>D</v>
          </cell>
          <cell r="C4070">
            <v>56.39</v>
          </cell>
        </row>
        <row r="4071">
          <cell r="A4071" t="str">
            <v>AF7876</v>
          </cell>
          <cell r="B4071" t="str">
            <v>D</v>
          </cell>
          <cell r="C4071">
            <v>41.89</v>
          </cell>
        </row>
        <row r="4072">
          <cell r="A4072" t="str">
            <v>AF7877</v>
          </cell>
          <cell r="B4072" t="str">
            <v>B</v>
          </cell>
          <cell r="C4072">
            <v>10.99</v>
          </cell>
        </row>
        <row r="4073">
          <cell r="A4073" t="str">
            <v>AF7878</v>
          </cell>
          <cell r="B4073" t="str">
            <v>D</v>
          </cell>
          <cell r="C4073">
            <v>25.72</v>
          </cell>
        </row>
        <row r="4074">
          <cell r="A4074" t="str">
            <v>AF7879</v>
          </cell>
          <cell r="B4074" t="str">
            <v>D</v>
          </cell>
          <cell r="C4074">
            <v>14.16</v>
          </cell>
        </row>
        <row r="4075">
          <cell r="A4075" t="str">
            <v>AF7880</v>
          </cell>
          <cell r="B4075" t="str">
            <v>D</v>
          </cell>
          <cell r="C4075">
            <v>28.83</v>
          </cell>
        </row>
        <row r="4076">
          <cell r="A4076" t="str">
            <v>AF7881</v>
          </cell>
          <cell r="B4076" t="str">
            <v>D</v>
          </cell>
          <cell r="C4076">
            <v>39.74</v>
          </cell>
        </row>
        <row r="4077">
          <cell r="A4077" t="str">
            <v>AF7882</v>
          </cell>
          <cell r="B4077" t="str">
            <v>D</v>
          </cell>
          <cell r="C4077">
            <v>19.59</v>
          </cell>
        </row>
        <row r="4078">
          <cell r="A4078" t="str">
            <v>AF7883</v>
          </cell>
          <cell r="B4078" t="str">
            <v>D</v>
          </cell>
          <cell r="C4078">
            <v>33.880000000000003</v>
          </cell>
        </row>
        <row r="4079">
          <cell r="A4079" t="str">
            <v>AF7884</v>
          </cell>
          <cell r="B4079" t="str">
            <v>D</v>
          </cell>
          <cell r="C4079">
            <v>28.79</v>
          </cell>
        </row>
        <row r="4080">
          <cell r="A4080" t="str">
            <v>AF7885</v>
          </cell>
          <cell r="B4080" t="str">
            <v>D</v>
          </cell>
          <cell r="C4080">
            <v>34.33</v>
          </cell>
        </row>
        <row r="4081">
          <cell r="A4081" t="str">
            <v>AF7886</v>
          </cell>
          <cell r="B4081" t="str">
            <v>D</v>
          </cell>
          <cell r="C4081">
            <v>55.51</v>
          </cell>
        </row>
        <row r="4082">
          <cell r="A4082" t="str">
            <v>AF7887</v>
          </cell>
          <cell r="B4082" t="str">
            <v>D</v>
          </cell>
          <cell r="C4082">
            <v>46.23</v>
          </cell>
        </row>
        <row r="4083">
          <cell r="A4083" t="str">
            <v>AF7889</v>
          </cell>
          <cell r="B4083" t="str">
            <v>D</v>
          </cell>
          <cell r="C4083">
            <v>48.6</v>
          </cell>
        </row>
        <row r="4084">
          <cell r="A4084" t="str">
            <v>AF7891</v>
          </cell>
          <cell r="B4084" t="str">
            <v>D</v>
          </cell>
          <cell r="C4084">
            <v>26.69</v>
          </cell>
        </row>
        <row r="4085">
          <cell r="A4085" t="str">
            <v>AF7892</v>
          </cell>
          <cell r="B4085" t="str">
            <v>B</v>
          </cell>
          <cell r="C4085">
            <v>25.15</v>
          </cell>
        </row>
        <row r="4086">
          <cell r="A4086" t="str">
            <v>AF7893</v>
          </cell>
          <cell r="B4086" t="str">
            <v>D</v>
          </cell>
          <cell r="C4086">
            <v>18.420000000000002</v>
          </cell>
        </row>
        <row r="4087">
          <cell r="A4087" t="str">
            <v>AF7894</v>
          </cell>
          <cell r="B4087" t="str">
            <v>D</v>
          </cell>
          <cell r="C4087">
            <v>22.7</v>
          </cell>
        </row>
        <row r="4088">
          <cell r="A4088" t="str">
            <v>AFB7895</v>
          </cell>
          <cell r="B4088" t="str">
            <v>D</v>
          </cell>
          <cell r="C4088">
            <v>64.03</v>
          </cell>
        </row>
        <row r="4089">
          <cell r="A4089" t="str">
            <v>AFB7896</v>
          </cell>
          <cell r="B4089" t="str">
            <v>D</v>
          </cell>
          <cell r="C4089">
            <v>2.97</v>
          </cell>
        </row>
        <row r="4090">
          <cell r="A4090" t="str">
            <v>AFB7897</v>
          </cell>
          <cell r="B4090" t="str">
            <v>D</v>
          </cell>
          <cell r="C4090">
            <v>2.86</v>
          </cell>
        </row>
        <row r="4091">
          <cell r="A4091" t="str">
            <v>AFB7898</v>
          </cell>
          <cell r="B4091" t="str">
            <v>D</v>
          </cell>
          <cell r="C4091">
            <v>3.62</v>
          </cell>
        </row>
        <row r="4092">
          <cell r="A4092" t="str">
            <v>AFB7899</v>
          </cell>
          <cell r="B4092" t="str">
            <v>D</v>
          </cell>
          <cell r="C4092">
            <v>6.53</v>
          </cell>
        </row>
        <row r="4093">
          <cell r="A4093" t="str">
            <v>AF7904</v>
          </cell>
          <cell r="B4093" t="str">
            <v>N</v>
          </cell>
          <cell r="C4093">
            <v>26.27</v>
          </cell>
        </row>
        <row r="4094">
          <cell r="A4094" t="str">
            <v>AF7905</v>
          </cell>
          <cell r="B4094" t="str">
            <v>D</v>
          </cell>
          <cell r="C4094">
            <v>13.39</v>
          </cell>
        </row>
        <row r="4095">
          <cell r="A4095" t="str">
            <v>AF7906</v>
          </cell>
          <cell r="B4095" t="str">
            <v>B</v>
          </cell>
          <cell r="C4095">
            <v>18.55</v>
          </cell>
        </row>
        <row r="4096">
          <cell r="A4096" t="str">
            <v>AF7907</v>
          </cell>
          <cell r="B4096" t="str">
            <v>D</v>
          </cell>
          <cell r="C4096">
            <v>32.72</v>
          </cell>
        </row>
        <row r="4097">
          <cell r="A4097" t="str">
            <v>AF7908</v>
          </cell>
          <cell r="B4097" t="str">
            <v>B</v>
          </cell>
          <cell r="C4097">
            <v>13.34</v>
          </cell>
        </row>
        <row r="4098">
          <cell r="A4098" t="str">
            <v>AF7909</v>
          </cell>
          <cell r="B4098" t="str">
            <v>D</v>
          </cell>
          <cell r="C4098">
            <v>11.51</v>
          </cell>
        </row>
        <row r="4099">
          <cell r="A4099" t="str">
            <v>AF7910</v>
          </cell>
          <cell r="B4099" t="str">
            <v>D</v>
          </cell>
          <cell r="C4099">
            <v>19.66</v>
          </cell>
        </row>
        <row r="4100">
          <cell r="A4100" t="str">
            <v>AF7911</v>
          </cell>
          <cell r="B4100" t="str">
            <v>D</v>
          </cell>
          <cell r="C4100">
            <v>25.41</v>
          </cell>
        </row>
        <row r="4101">
          <cell r="A4101" t="str">
            <v>AF7912</v>
          </cell>
          <cell r="B4101" t="str">
            <v>D</v>
          </cell>
          <cell r="C4101">
            <v>19.12</v>
          </cell>
        </row>
        <row r="4102">
          <cell r="A4102" t="str">
            <v>AF7913</v>
          </cell>
          <cell r="B4102" t="str">
            <v>D</v>
          </cell>
          <cell r="C4102">
            <v>13.85</v>
          </cell>
        </row>
        <row r="4103">
          <cell r="A4103" t="str">
            <v>AF7914</v>
          </cell>
          <cell r="B4103" t="str">
            <v>D</v>
          </cell>
          <cell r="C4103">
            <v>25.07</v>
          </cell>
        </row>
        <row r="4104">
          <cell r="A4104" t="str">
            <v>AF7915</v>
          </cell>
          <cell r="B4104" t="str">
            <v>D</v>
          </cell>
          <cell r="C4104">
            <v>33.130000000000003</v>
          </cell>
        </row>
        <row r="4105">
          <cell r="A4105" t="str">
            <v>AF7916</v>
          </cell>
          <cell r="B4105" t="str">
            <v>D</v>
          </cell>
          <cell r="C4105">
            <v>30.86</v>
          </cell>
        </row>
        <row r="4106">
          <cell r="A4106" t="str">
            <v>AF7917</v>
          </cell>
          <cell r="B4106" t="str">
            <v>D</v>
          </cell>
          <cell r="C4106">
            <v>10.6</v>
          </cell>
        </row>
        <row r="4107">
          <cell r="A4107" t="str">
            <v>AF7918</v>
          </cell>
          <cell r="B4107" t="str">
            <v>D</v>
          </cell>
          <cell r="C4107">
            <v>13.62</v>
          </cell>
        </row>
        <row r="4108">
          <cell r="A4108" t="str">
            <v>AF7919</v>
          </cell>
          <cell r="B4108" t="str">
            <v>B</v>
          </cell>
          <cell r="C4108">
            <v>19.940000000000001</v>
          </cell>
        </row>
        <row r="4109">
          <cell r="A4109" t="str">
            <v>AF7920</v>
          </cell>
          <cell r="B4109" t="str">
            <v>D</v>
          </cell>
          <cell r="C4109">
            <v>20.92</v>
          </cell>
        </row>
        <row r="4110">
          <cell r="A4110" t="str">
            <v>AF7921</v>
          </cell>
          <cell r="B4110" t="str">
            <v>D</v>
          </cell>
          <cell r="C4110">
            <v>37.24</v>
          </cell>
        </row>
        <row r="4111">
          <cell r="A4111" t="str">
            <v>AF7922</v>
          </cell>
          <cell r="B4111" t="str">
            <v>N</v>
          </cell>
          <cell r="C4111">
            <v>24.97</v>
          </cell>
        </row>
        <row r="4112">
          <cell r="A4112" t="str">
            <v>AF7924</v>
          </cell>
          <cell r="B4112" t="str">
            <v>D</v>
          </cell>
          <cell r="C4112">
            <v>16.670000000000002</v>
          </cell>
        </row>
        <row r="4113">
          <cell r="A4113" t="str">
            <v>AF7925</v>
          </cell>
          <cell r="B4113" t="str">
            <v>D</v>
          </cell>
          <cell r="C4113">
            <v>16.55</v>
          </cell>
        </row>
        <row r="4114">
          <cell r="A4114" t="str">
            <v>AF7932</v>
          </cell>
          <cell r="B4114" t="str">
            <v>D</v>
          </cell>
          <cell r="C4114">
            <v>17.809999999999999</v>
          </cell>
        </row>
        <row r="4115">
          <cell r="A4115" t="str">
            <v>LAF7933</v>
          </cell>
          <cell r="B4115" t="str">
            <v>D</v>
          </cell>
          <cell r="C4115">
            <v>42.76</v>
          </cell>
        </row>
        <row r="4116">
          <cell r="A4116" t="str">
            <v>AF7935</v>
          </cell>
          <cell r="B4116" t="str">
            <v>A</v>
          </cell>
          <cell r="C4116">
            <v>22.73</v>
          </cell>
        </row>
        <row r="4117">
          <cell r="A4117" t="str">
            <v>AF7936</v>
          </cell>
          <cell r="B4117" t="str">
            <v>D</v>
          </cell>
          <cell r="C4117">
            <v>30.9</v>
          </cell>
        </row>
        <row r="4118">
          <cell r="A4118" t="str">
            <v>AF7937</v>
          </cell>
          <cell r="B4118" t="str">
            <v>D</v>
          </cell>
          <cell r="C4118">
            <v>12.26</v>
          </cell>
        </row>
        <row r="4119">
          <cell r="A4119" t="str">
            <v>AF7938</v>
          </cell>
          <cell r="B4119" t="str">
            <v>D</v>
          </cell>
          <cell r="C4119">
            <v>29.77</v>
          </cell>
        </row>
        <row r="4120">
          <cell r="A4120" t="str">
            <v>AF7939</v>
          </cell>
          <cell r="B4120" t="str">
            <v>D</v>
          </cell>
          <cell r="C4120">
            <v>20.350000000000001</v>
          </cell>
        </row>
        <row r="4121">
          <cell r="A4121" t="str">
            <v>AF7940</v>
          </cell>
          <cell r="B4121" t="str">
            <v>D</v>
          </cell>
          <cell r="C4121">
            <v>45.99</v>
          </cell>
        </row>
        <row r="4122">
          <cell r="A4122" t="str">
            <v>AF7941</v>
          </cell>
          <cell r="B4122" t="str">
            <v>D</v>
          </cell>
          <cell r="C4122">
            <v>49.63</v>
          </cell>
        </row>
        <row r="4123">
          <cell r="A4123" t="str">
            <v>AF7942</v>
          </cell>
          <cell r="B4123" t="str">
            <v>D</v>
          </cell>
          <cell r="C4123">
            <v>16.96</v>
          </cell>
        </row>
        <row r="4124">
          <cell r="A4124" t="str">
            <v>AF7943</v>
          </cell>
          <cell r="B4124" t="str">
            <v>D</v>
          </cell>
          <cell r="C4124">
            <v>36.72</v>
          </cell>
        </row>
        <row r="4125">
          <cell r="A4125" t="str">
            <v>AF7944</v>
          </cell>
          <cell r="B4125" t="str">
            <v>D</v>
          </cell>
          <cell r="C4125">
            <v>25.03</v>
          </cell>
        </row>
        <row r="4126">
          <cell r="A4126" t="str">
            <v>AF7945</v>
          </cell>
          <cell r="B4126" t="str">
            <v>D</v>
          </cell>
          <cell r="C4126">
            <v>78.25</v>
          </cell>
        </row>
        <row r="4127">
          <cell r="A4127" t="str">
            <v>AF7946</v>
          </cell>
          <cell r="B4127" t="str">
            <v>D</v>
          </cell>
          <cell r="C4127">
            <v>27.19</v>
          </cell>
        </row>
        <row r="4128">
          <cell r="A4128" t="str">
            <v>AF7947</v>
          </cell>
          <cell r="B4128" t="str">
            <v>D</v>
          </cell>
          <cell r="C4128">
            <v>44.64</v>
          </cell>
        </row>
        <row r="4129">
          <cell r="A4129" t="str">
            <v>AF7948</v>
          </cell>
          <cell r="B4129" t="str">
            <v>D</v>
          </cell>
          <cell r="C4129">
            <v>42.5</v>
          </cell>
        </row>
        <row r="4130">
          <cell r="A4130" t="str">
            <v>AF7949</v>
          </cell>
          <cell r="B4130" t="str">
            <v>D</v>
          </cell>
          <cell r="C4130">
            <v>26.85</v>
          </cell>
        </row>
        <row r="4131">
          <cell r="A4131" t="str">
            <v>AF7953</v>
          </cell>
          <cell r="B4131" t="str">
            <v>D</v>
          </cell>
          <cell r="C4131">
            <v>35.979999999999997</v>
          </cell>
        </row>
        <row r="4132">
          <cell r="A4132" t="str">
            <v>AF7954</v>
          </cell>
          <cell r="B4132" t="str">
            <v>D</v>
          </cell>
          <cell r="C4132">
            <v>33.119999999999997</v>
          </cell>
        </row>
        <row r="4133">
          <cell r="A4133" t="str">
            <v>AF7955</v>
          </cell>
          <cell r="B4133" t="str">
            <v>D</v>
          </cell>
          <cell r="C4133">
            <v>72.959999999999994</v>
          </cell>
        </row>
        <row r="4134">
          <cell r="A4134" t="str">
            <v>AF7957</v>
          </cell>
          <cell r="B4134" t="str">
            <v>D</v>
          </cell>
          <cell r="C4134">
            <v>67.42</v>
          </cell>
        </row>
        <row r="4135">
          <cell r="A4135" t="str">
            <v>AF7958</v>
          </cell>
          <cell r="B4135" t="str">
            <v>D</v>
          </cell>
          <cell r="C4135">
            <v>15.17</v>
          </cell>
        </row>
        <row r="4136">
          <cell r="A4136" t="str">
            <v>AF7959</v>
          </cell>
          <cell r="B4136" t="str">
            <v>D</v>
          </cell>
          <cell r="C4136">
            <v>22.34</v>
          </cell>
        </row>
        <row r="4137">
          <cell r="A4137" t="str">
            <v>AF7960</v>
          </cell>
          <cell r="B4137" t="str">
            <v>D</v>
          </cell>
          <cell r="C4137">
            <v>28.35</v>
          </cell>
        </row>
        <row r="4138">
          <cell r="A4138" t="str">
            <v>AF7961</v>
          </cell>
          <cell r="B4138" t="str">
            <v>D</v>
          </cell>
          <cell r="C4138">
            <v>28.12</v>
          </cell>
        </row>
        <row r="4139">
          <cell r="A4139" t="str">
            <v>AF7963</v>
          </cell>
          <cell r="B4139" t="str">
            <v>D</v>
          </cell>
          <cell r="C4139">
            <v>35.08</v>
          </cell>
        </row>
        <row r="4140">
          <cell r="A4140" t="str">
            <v>AF7964</v>
          </cell>
          <cell r="B4140" t="str">
            <v>D</v>
          </cell>
          <cell r="C4140">
            <v>18.82</v>
          </cell>
        </row>
        <row r="4141">
          <cell r="A4141" t="str">
            <v>AF7965</v>
          </cell>
          <cell r="B4141" t="str">
            <v>D</v>
          </cell>
          <cell r="C4141">
            <v>17.100000000000001</v>
          </cell>
        </row>
        <row r="4142">
          <cell r="A4142" t="str">
            <v>AF7966</v>
          </cell>
          <cell r="B4142" t="str">
            <v>D</v>
          </cell>
          <cell r="C4142">
            <v>24.89</v>
          </cell>
        </row>
        <row r="4143">
          <cell r="A4143" t="str">
            <v>AF7967</v>
          </cell>
          <cell r="B4143" t="str">
            <v>D</v>
          </cell>
          <cell r="C4143">
            <v>13.36</v>
          </cell>
        </row>
        <row r="4144">
          <cell r="A4144" t="str">
            <v>AF7968</v>
          </cell>
          <cell r="B4144" t="str">
            <v>D</v>
          </cell>
          <cell r="C4144">
            <v>22.17</v>
          </cell>
        </row>
        <row r="4145">
          <cell r="A4145" t="str">
            <v>AF7969</v>
          </cell>
          <cell r="B4145" t="str">
            <v>D</v>
          </cell>
          <cell r="C4145">
            <v>26.14</v>
          </cell>
        </row>
        <row r="4146">
          <cell r="A4146" t="str">
            <v>AF7970</v>
          </cell>
          <cell r="B4146" t="str">
            <v>D</v>
          </cell>
          <cell r="C4146">
            <v>45.16</v>
          </cell>
        </row>
        <row r="4147">
          <cell r="A4147" t="str">
            <v>AF7971</v>
          </cell>
          <cell r="B4147" t="str">
            <v>D</v>
          </cell>
          <cell r="C4147">
            <v>26.72</v>
          </cell>
        </row>
        <row r="4148">
          <cell r="A4148" t="str">
            <v>AF7973</v>
          </cell>
          <cell r="B4148" t="str">
            <v>D</v>
          </cell>
          <cell r="C4148">
            <v>25.33</v>
          </cell>
        </row>
        <row r="4149">
          <cell r="A4149" t="str">
            <v>AF7974</v>
          </cell>
          <cell r="B4149" t="str">
            <v>D</v>
          </cell>
          <cell r="C4149">
            <v>14.64</v>
          </cell>
        </row>
        <row r="4150">
          <cell r="A4150" t="str">
            <v>AF7975</v>
          </cell>
          <cell r="B4150" t="str">
            <v>D</v>
          </cell>
          <cell r="C4150">
            <v>10.53</v>
          </cell>
        </row>
        <row r="4151">
          <cell r="A4151" t="str">
            <v>AF7976</v>
          </cell>
          <cell r="B4151" t="str">
            <v>D</v>
          </cell>
          <cell r="C4151">
            <v>23.78</v>
          </cell>
        </row>
        <row r="4152">
          <cell r="A4152" t="str">
            <v>AF7977</v>
          </cell>
          <cell r="B4152" t="str">
            <v>D</v>
          </cell>
          <cell r="C4152">
            <v>15.69</v>
          </cell>
        </row>
        <row r="4153">
          <cell r="A4153" t="str">
            <v>AF7978</v>
          </cell>
          <cell r="B4153" t="str">
            <v>D</v>
          </cell>
          <cell r="C4153">
            <v>16.809999999999999</v>
          </cell>
        </row>
        <row r="4154">
          <cell r="A4154" t="str">
            <v>AF7980</v>
          </cell>
          <cell r="B4154" t="str">
            <v>D</v>
          </cell>
          <cell r="C4154">
            <v>29.47</v>
          </cell>
        </row>
        <row r="4155">
          <cell r="A4155" t="str">
            <v>AF7981</v>
          </cell>
          <cell r="B4155" t="str">
            <v>D</v>
          </cell>
          <cell r="C4155">
            <v>17.52</v>
          </cell>
        </row>
        <row r="4156">
          <cell r="A4156" t="str">
            <v>AF7982</v>
          </cell>
          <cell r="B4156" t="str">
            <v>D</v>
          </cell>
          <cell r="C4156">
            <v>19.670000000000002</v>
          </cell>
        </row>
        <row r="4157">
          <cell r="A4157" t="str">
            <v>AF7983</v>
          </cell>
          <cell r="B4157" t="str">
            <v>D</v>
          </cell>
          <cell r="C4157">
            <v>20.82</v>
          </cell>
        </row>
        <row r="4158">
          <cell r="A4158" t="str">
            <v>AF7984</v>
          </cell>
          <cell r="B4158" t="str">
            <v>B</v>
          </cell>
          <cell r="C4158">
            <v>9.0500000000000007</v>
          </cell>
        </row>
        <row r="4159">
          <cell r="A4159" t="str">
            <v>AF7985</v>
          </cell>
          <cell r="B4159" t="str">
            <v>D</v>
          </cell>
          <cell r="C4159">
            <v>19.72</v>
          </cell>
        </row>
        <row r="4160">
          <cell r="A4160" t="str">
            <v>AF7986</v>
          </cell>
          <cell r="B4160" t="str">
            <v>D</v>
          </cell>
          <cell r="C4160">
            <v>37.909999999999997</v>
          </cell>
        </row>
        <row r="4161">
          <cell r="A4161" t="str">
            <v>AF7988</v>
          </cell>
          <cell r="B4161" t="str">
            <v>D</v>
          </cell>
          <cell r="C4161">
            <v>30.84</v>
          </cell>
        </row>
        <row r="4162">
          <cell r="A4162" t="str">
            <v>AF7989</v>
          </cell>
          <cell r="B4162" t="str">
            <v>D</v>
          </cell>
          <cell r="C4162">
            <v>40.869999999999997</v>
          </cell>
        </row>
        <row r="4163">
          <cell r="A4163" t="str">
            <v>AF7990</v>
          </cell>
          <cell r="B4163" t="str">
            <v>B</v>
          </cell>
          <cell r="C4163">
            <v>15.45</v>
          </cell>
        </row>
        <row r="4164">
          <cell r="A4164" t="str">
            <v>AF7991</v>
          </cell>
          <cell r="B4164" t="str">
            <v>D</v>
          </cell>
          <cell r="C4164">
            <v>26.27</v>
          </cell>
        </row>
        <row r="4165">
          <cell r="A4165" t="str">
            <v>AF7992</v>
          </cell>
          <cell r="B4165" t="str">
            <v>D</v>
          </cell>
          <cell r="C4165">
            <v>63.2</v>
          </cell>
        </row>
        <row r="4166">
          <cell r="A4166" t="str">
            <v>AF7993</v>
          </cell>
          <cell r="B4166" t="str">
            <v>D</v>
          </cell>
          <cell r="C4166">
            <v>27.16</v>
          </cell>
        </row>
        <row r="4167">
          <cell r="A4167" t="str">
            <v>AF7994</v>
          </cell>
          <cell r="B4167" t="str">
            <v>D</v>
          </cell>
          <cell r="C4167">
            <v>9.74</v>
          </cell>
        </row>
        <row r="4168">
          <cell r="A4168" t="str">
            <v>AF7996</v>
          </cell>
          <cell r="B4168" t="str">
            <v>B</v>
          </cell>
          <cell r="C4168">
            <v>22.02</v>
          </cell>
        </row>
        <row r="4169">
          <cell r="A4169" t="str">
            <v>AF7997</v>
          </cell>
          <cell r="B4169" t="str">
            <v>D</v>
          </cell>
          <cell r="C4169">
            <v>33.74</v>
          </cell>
        </row>
        <row r="4170">
          <cell r="A4170" t="str">
            <v>AF7998</v>
          </cell>
          <cell r="B4170" t="str">
            <v>D</v>
          </cell>
          <cell r="C4170">
            <v>15.82</v>
          </cell>
        </row>
        <row r="4171">
          <cell r="A4171" t="str">
            <v>AF7999</v>
          </cell>
          <cell r="B4171" t="str">
            <v>B</v>
          </cell>
          <cell r="C4171">
            <v>19.22</v>
          </cell>
        </row>
        <row r="4172">
          <cell r="A4172" t="str">
            <v>LFF8000</v>
          </cell>
          <cell r="B4172" t="str">
            <v>B</v>
          </cell>
          <cell r="C4172">
            <v>15.82</v>
          </cell>
        </row>
        <row r="4173">
          <cell r="A4173" t="str">
            <v>LAF8002</v>
          </cell>
          <cell r="B4173" t="str">
            <v>D</v>
          </cell>
          <cell r="C4173">
            <v>111.93</v>
          </cell>
        </row>
        <row r="4174">
          <cell r="A4174" t="str">
            <v>LAF8003</v>
          </cell>
          <cell r="B4174" t="str">
            <v>D</v>
          </cell>
          <cell r="C4174">
            <v>170.15</v>
          </cell>
        </row>
        <row r="4175">
          <cell r="A4175" t="str">
            <v>LFF8010</v>
          </cell>
          <cell r="B4175" t="str">
            <v>B</v>
          </cell>
          <cell r="C4175">
            <v>18.75</v>
          </cell>
        </row>
        <row r="4176">
          <cell r="A4176" t="str">
            <v>LFF8011</v>
          </cell>
          <cell r="B4176" t="str">
            <v>D</v>
          </cell>
          <cell r="C4176">
            <v>19.64</v>
          </cell>
        </row>
        <row r="4177">
          <cell r="A4177" t="str">
            <v>LFF8012</v>
          </cell>
          <cell r="B4177" t="str">
            <v>C</v>
          </cell>
          <cell r="C4177">
            <v>8.5399999999999991</v>
          </cell>
        </row>
        <row r="4178">
          <cell r="A4178" t="str">
            <v>LFF8020</v>
          </cell>
          <cell r="B4178" t="str">
            <v>A</v>
          </cell>
          <cell r="C4178">
            <v>14.64</v>
          </cell>
        </row>
        <row r="4179">
          <cell r="A4179" t="str">
            <v>LFF8021</v>
          </cell>
          <cell r="B4179" t="str">
            <v>D</v>
          </cell>
          <cell r="C4179">
            <v>18.25</v>
          </cell>
        </row>
        <row r="4180">
          <cell r="A4180" t="str">
            <v>LFF8030</v>
          </cell>
          <cell r="B4180" t="str">
            <v>B</v>
          </cell>
          <cell r="C4180">
            <v>19</v>
          </cell>
        </row>
        <row r="4181">
          <cell r="A4181" t="str">
            <v>LFF8038</v>
          </cell>
          <cell r="B4181" t="str">
            <v>D</v>
          </cell>
          <cell r="C4181">
            <v>43.4</v>
          </cell>
        </row>
        <row r="4182">
          <cell r="A4182" t="str">
            <v>LAF8039</v>
          </cell>
          <cell r="B4182" t="str">
            <v>D</v>
          </cell>
          <cell r="C4182">
            <v>105.77</v>
          </cell>
        </row>
        <row r="4183">
          <cell r="A4183" t="str">
            <v>LFF8040</v>
          </cell>
          <cell r="B4183" t="str">
            <v>D</v>
          </cell>
          <cell r="C4183">
            <v>20.25</v>
          </cell>
        </row>
        <row r="4184">
          <cell r="A4184" t="str">
            <v>LFF8041</v>
          </cell>
          <cell r="B4184" t="str">
            <v>D</v>
          </cell>
          <cell r="C4184">
            <v>54.79</v>
          </cell>
        </row>
        <row r="4185">
          <cell r="A4185" t="str">
            <v>LAF8043</v>
          </cell>
          <cell r="B4185" t="str">
            <v>D</v>
          </cell>
          <cell r="C4185">
            <v>95.99</v>
          </cell>
        </row>
        <row r="4186">
          <cell r="A4186" t="str">
            <v>LAF8044</v>
          </cell>
          <cell r="B4186" t="str">
            <v>D</v>
          </cell>
          <cell r="C4186">
            <v>84.66</v>
          </cell>
        </row>
        <row r="4187">
          <cell r="A4187" t="str">
            <v>LAF8047</v>
          </cell>
          <cell r="B4187" t="str">
            <v>B</v>
          </cell>
          <cell r="C4187">
            <v>76.11</v>
          </cell>
        </row>
        <row r="4188">
          <cell r="A4188" t="str">
            <v>LFF8050</v>
          </cell>
          <cell r="B4188" t="str">
            <v>D</v>
          </cell>
          <cell r="C4188">
            <v>14.81</v>
          </cell>
        </row>
        <row r="4189">
          <cell r="A4189" t="str">
            <v>LFF8059</v>
          </cell>
          <cell r="B4189" t="str">
            <v>A</v>
          </cell>
          <cell r="C4189">
            <v>18.02</v>
          </cell>
        </row>
        <row r="4190">
          <cell r="A4190" t="str">
            <v>LFF8060</v>
          </cell>
          <cell r="B4190" t="str">
            <v>B</v>
          </cell>
          <cell r="C4190">
            <v>13.94</v>
          </cell>
        </row>
        <row r="4191">
          <cell r="A4191" t="str">
            <v>LFF8061</v>
          </cell>
          <cell r="B4191" t="str">
            <v>D</v>
          </cell>
          <cell r="C4191">
            <v>30.1</v>
          </cell>
        </row>
        <row r="4192">
          <cell r="A4192" t="str">
            <v>LFF8061U</v>
          </cell>
          <cell r="B4192" t="str">
            <v>N</v>
          </cell>
          <cell r="C4192">
            <v>34.1</v>
          </cell>
        </row>
        <row r="4193">
          <cell r="A4193" t="str">
            <v>LFF8062</v>
          </cell>
          <cell r="B4193" t="str">
            <v>B</v>
          </cell>
          <cell r="C4193">
            <v>14.98</v>
          </cell>
        </row>
        <row r="4194">
          <cell r="A4194" t="str">
            <v>LFF8063</v>
          </cell>
          <cell r="B4194" t="str">
            <v>B</v>
          </cell>
          <cell r="C4194">
            <v>38.619999999999997</v>
          </cell>
        </row>
        <row r="4195">
          <cell r="A4195" t="str">
            <v>LFF8063U</v>
          </cell>
          <cell r="B4195" t="str">
            <v>D</v>
          </cell>
          <cell r="C4195">
            <v>36.590000000000003</v>
          </cell>
        </row>
        <row r="4196">
          <cell r="A4196" t="str">
            <v>LFF8064</v>
          </cell>
          <cell r="B4196" t="str">
            <v>A</v>
          </cell>
          <cell r="C4196">
            <v>41.12</v>
          </cell>
        </row>
        <row r="4197">
          <cell r="A4197" t="str">
            <v>LFF8065</v>
          </cell>
          <cell r="B4197" t="str">
            <v>D</v>
          </cell>
          <cell r="C4197">
            <v>30.15</v>
          </cell>
        </row>
        <row r="4198">
          <cell r="A4198" t="str">
            <v>LAF8066</v>
          </cell>
          <cell r="B4198" t="str">
            <v>D</v>
          </cell>
          <cell r="C4198">
            <v>145.63999999999999</v>
          </cell>
        </row>
        <row r="4199">
          <cell r="A4199" t="str">
            <v>LAF8069</v>
          </cell>
          <cell r="B4199" t="str">
            <v>D</v>
          </cell>
          <cell r="C4199">
            <v>137.26</v>
          </cell>
        </row>
        <row r="4200">
          <cell r="A4200" t="str">
            <v>LAF8070</v>
          </cell>
          <cell r="B4200" t="str">
            <v>D</v>
          </cell>
          <cell r="C4200">
            <v>43.17</v>
          </cell>
        </row>
        <row r="4201">
          <cell r="A4201" t="str">
            <v>LAF8071</v>
          </cell>
          <cell r="B4201" t="str">
            <v>D</v>
          </cell>
          <cell r="C4201">
            <v>57.62</v>
          </cell>
        </row>
        <row r="4202">
          <cell r="A4202" t="str">
            <v>LAF8072</v>
          </cell>
          <cell r="B4202" t="str">
            <v>D</v>
          </cell>
          <cell r="C4202">
            <v>75.59</v>
          </cell>
        </row>
        <row r="4203">
          <cell r="A4203" t="str">
            <v>LAF8074</v>
          </cell>
          <cell r="B4203" t="str">
            <v>D</v>
          </cell>
          <cell r="C4203">
            <v>94.46</v>
          </cell>
        </row>
        <row r="4204">
          <cell r="A4204" t="str">
            <v>LAF8075</v>
          </cell>
          <cell r="B4204" t="str">
            <v>D</v>
          </cell>
          <cell r="C4204">
            <v>66.94</v>
          </cell>
        </row>
        <row r="4205">
          <cell r="A4205" t="str">
            <v>LAF8076</v>
          </cell>
          <cell r="B4205" t="str">
            <v>D</v>
          </cell>
          <cell r="C4205">
            <v>71.540000000000006</v>
          </cell>
        </row>
        <row r="4206">
          <cell r="A4206" t="str">
            <v>LAF8077</v>
          </cell>
          <cell r="B4206" t="str">
            <v>D</v>
          </cell>
          <cell r="C4206">
            <v>51.76</v>
          </cell>
        </row>
        <row r="4207">
          <cell r="A4207" t="str">
            <v>LAF8078</v>
          </cell>
          <cell r="B4207" t="str">
            <v>D</v>
          </cell>
          <cell r="C4207">
            <v>36.39</v>
          </cell>
        </row>
        <row r="4208">
          <cell r="A4208" t="str">
            <v>LAF8079</v>
          </cell>
          <cell r="B4208" t="str">
            <v>D</v>
          </cell>
          <cell r="C4208">
            <v>150.38</v>
          </cell>
        </row>
        <row r="4209">
          <cell r="A4209" t="str">
            <v>LAF8080</v>
          </cell>
          <cell r="B4209" t="str">
            <v>D</v>
          </cell>
          <cell r="C4209">
            <v>58.83</v>
          </cell>
        </row>
        <row r="4210">
          <cell r="A4210" t="str">
            <v>LAF8081</v>
          </cell>
          <cell r="B4210" t="str">
            <v>D</v>
          </cell>
          <cell r="C4210">
            <v>28.59</v>
          </cell>
        </row>
        <row r="4211">
          <cell r="A4211" t="str">
            <v>LAF8082</v>
          </cell>
          <cell r="B4211" t="str">
            <v>D</v>
          </cell>
          <cell r="C4211">
            <v>49.91</v>
          </cell>
        </row>
        <row r="4212">
          <cell r="A4212" t="str">
            <v>LAF8083</v>
          </cell>
          <cell r="B4212" t="str">
            <v>D</v>
          </cell>
          <cell r="C4212">
            <v>80.010000000000005</v>
          </cell>
        </row>
        <row r="4213">
          <cell r="A4213" t="str">
            <v>LAF8084</v>
          </cell>
          <cell r="B4213" t="str">
            <v>D</v>
          </cell>
          <cell r="C4213">
            <v>57.17</v>
          </cell>
        </row>
        <row r="4214">
          <cell r="A4214" t="str">
            <v>LAF8086</v>
          </cell>
          <cell r="B4214" t="str">
            <v>N</v>
          </cell>
          <cell r="C4214">
            <v>21.49</v>
          </cell>
        </row>
        <row r="4215">
          <cell r="A4215" t="str">
            <v>LAF8085</v>
          </cell>
          <cell r="B4215" t="str">
            <v>N</v>
          </cell>
          <cell r="C4215">
            <v>67.95</v>
          </cell>
        </row>
        <row r="4216">
          <cell r="A4216" t="str">
            <v>LAF8087</v>
          </cell>
          <cell r="B4216" t="str">
            <v>D</v>
          </cell>
          <cell r="C4216">
            <v>116.03</v>
          </cell>
        </row>
        <row r="4217">
          <cell r="A4217" t="str">
            <v>LAF8088</v>
          </cell>
          <cell r="B4217" t="str">
            <v>D</v>
          </cell>
          <cell r="C4217">
            <v>113.65</v>
          </cell>
        </row>
        <row r="4218">
          <cell r="A4218" t="str">
            <v>LAF8089</v>
          </cell>
          <cell r="B4218" t="str">
            <v>D</v>
          </cell>
          <cell r="C4218">
            <v>38.04</v>
          </cell>
        </row>
        <row r="4219">
          <cell r="A4219" t="str">
            <v>LAF8090</v>
          </cell>
          <cell r="B4219" t="str">
            <v>D</v>
          </cell>
          <cell r="C4219">
            <v>48.92</v>
          </cell>
        </row>
        <row r="4220">
          <cell r="A4220" t="str">
            <v>LAF8091</v>
          </cell>
          <cell r="B4220" t="str">
            <v>D</v>
          </cell>
          <cell r="C4220">
            <v>77.8</v>
          </cell>
        </row>
        <row r="4221">
          <cell r="A4221" t="str">
            <v>LFF8092</v>
          </cell>
          <cell r="B4221" t="str">
            <v>C</v>
          </cell>
          <cell r="C4221">
            <v>10.48</v>
          </cell>
        </row>
        <row r="4222">
          <cell r="A4222" t="str">
            <v>LFF8093</v>
          </cell>
          <cell r="B4222" t="str">
            <v>C</v>
          </cell>
          <cell r="C4222">
            <v>8.5299999999999994</v>
          </cell>
        </row>
        <row r="4223">
          <cell r="A4223" t="str">
            <v>LH8094</v>
          </cell>
          <cell r="B4223" t="str">
            <v>D</v>
          </cell>
          <cell r="C4223">
            <v>47.21</v>
          </cell>
        </row>
        <row r="4224">
          <cell r="A4224" t="str">
            <v>LFH8095</v>
          </cell>
          <cell r="B4224" t="str">
            <v>D</v>
          </cell>
          <cell r="C4224">
            <v>83.52</v>
          </cell>
        </row>
        <row r="4225">
          <cell r="A4225" t="str">
            <v>LFP8096</v>
          </cell>
          <cell r="B4225" t="str">
            <v>D</v>
          </cell>
          <cell r="C4225">
            <v>74.430000000000007</v>
          </cell>
        </row>
        <row r="4226">
          <cell r="A4226" t="str">
            <v>LAF8097</v>
          </cell>
          <cell r="B4226" t="str">
            <v>D</v>
          </cell>
          <cell r="C4226">
            <v>14.73</v>
          </cell>
        </row>
        <row r="4227">
          <cell r="A4227" t="str">
            <v>LAF8098</v>
          </cell>
          <cell r="B4227" t="str">
            <v>D</v>
          </cell>
          <cell r="C4227">
            <v>40.01</v>
          </cell>
        </row>
        <row r="4228">
          <cell r="A4228" t="str">
            <v>LFP8099</v>
          </cell>
          <cell r="B4228" t="str">
            <v>D</v>
          </cell>
          <cell r="C4228">
            <v>27.35</v>
          </cell>
        </row>
        <row r="4229">
          <cell r="A4229" t="str">
            <v>LFF8101</v>
          </cell>
          <cell r="B4229" t="str">
            <v>D</v>
          </cell>
          <cell r="C4229">
            <v>39.43</v>
          </cell>
        </row>
        <row r="4230">
          <cell r="A4230" t="str">
            <v>LAF8102</v>
          </cell>
          <cell r="B4230" t="str">
            <v>D</v>
          </cell>
          <cell r="C4230">
            <v>91.34</v>
          </cell>
        </row>
        <row r="4231">
          <cell r="A4231" t="str">
            <v>LFF8103</v>
          </cell>
          <cell r="B4231" t="str">
            <v>D</v>
          </cell>
          <cell r="C4231">
            <v>94.72</v>
          </cell>
        </row>
        <row r="4232">
          <cell r="A4232" t="str">
            <v>LFP8104</v>
          </cell>
          <cell r="B4232" t="str">
            <v>D</v>
          </cell>
          <cell r="C4232">
            <v>91.75</v>
          </cell>
        </row>
        <row r="4233">
          <cell r="A4233" t="str">
            <v>L8105F</v>
          </cell>
          <cell r="B4233" t="str">
            <v>D</v>
          </cell>
          <cell r="C4233">
            <v>72.69</v>
          </cell>
        </row>
        <row r="4234">
          <cell r="A4234" t="str">
            <v>LP8106</v>
          </cell>
          <cell r="B4234" t="str">
            <v>D</v>
          </cell>
          <cell r="C4234">
            <v>24.09</v>
          </cell>
        </row>
        <row r="4235">
          <cell r="A4235" t="str">
            <v>LP8107</v>
          </cell>
          <cell r="B4235" t="str">
            <v>D</v>
          </cell>
          <cell r="C4235">
            <v>41.22</v>
          </cell>
        </row>
        <row r="4236">
          <cell r="A4236" t="str">
            <v>LFH8108</v>
          </cell>
          <cell r="B4236" t="str">
            <v>D</v>
          </cell>
          <cell r="C4236">
            <v>21.09</v>
          </cell>
        </row>
        <row r="4237">
          <cell r="A4237" t="str">
            <v>L8109F</v>
          </cell>
          <cell r="B4237" t="str">
            <v>D</v>
          </cell>
          <cell r="C4237">
            <v>27.67</v>
          </cell>
        </row>
        <row r="4238">
          <cell r="A4238" t="str">
            <v>LAF8110</v>
          </cell>
          <cell r="B4238" t="str">
            <v>D</v>
          </cell>
          <cell r="C4238">
            <v>70.790000000000006</v>
          </cell>
        </row>
        <row r="4239">
          <cell r="A4239" t="str">
            <v>LAF8111</v>
          </cell>
          <cell r="B4239" t="str">
            <v>D</v>
          </cell>
          <cell r="C4239">
            <v>48.19</v>
          </cell>
        </row>
        <row r="4240">
          <cell r="A4240" t="str">
            <v>LAF8112</v>
          </cell>
          <cell r="B4240" t="str">
            <v>D</v>
          </cell>
          <cell r="C4240">
            <v>41.44</v>
          </cell>
        </row>
        <row r="4241">
          <cell r="A4241" t="str">
            <v>LAF8114</v>
          </cell>
          <cell r="B4241" t="str">
            <v>B</v>
          </cell>
          <cell r="C4241">
            <v>30.71</v>
          </cell>
        </row>
        <row r="4242">
          <cell r="A4242" t="str">
            <v>LAF8115</v>
          </cell>
          <cell r="B4242" t="str">
            <v>D</v>
          </cell>
          <cell r="C4242">
            <v>137.41999999999999</v>
          </cell>
        </row>
        <row r="4243">
          <cell r="A4243" t="str">
            <v>LAF8116</v>
          </cell>
          <cell r="B4243" t="str">
            <v>D</v>
          </cell>
          <cell r="C4243">
            <v>35.83</v>
          </cell>
        </row>
        <row r="4244">
          <cell r="A4244" t="str">
            <v>LAF8116MXM</v>
          </cell>
          <cell r="B4244" t="str">
            <v>N</v>
          </cell>
          <cell r="C4244">
            <v>44.64</v>
          </cell>
        </row>
        <row r="4245">
          <cell r="A4245" t="str">
            <v>LAF8118</v>
          </cell>
          <cell r="B4245" t="str">
            <v>D</v>
          </cell>
          <cell r="C4245">
            <v>59.61</v>
          </cell>
        </row>
        <row r="4246">
          <cell r="A4246" t="str">
            <v>LAF8119</v>
          </cell>
          <cell r="B4246" t="str">
            <v>D</v>
          </cell>
          <cell r="C4246">
            <v>36.270000000000003</v>
          </cell>
        </row>
        <row r="4247">
          <cell r="A4247" t="str">
            <v>LAF8120</v>
          </cell>
          <cell r="B4247" t="str">
            <v>D</v>
          </cell>
          <cell r="C4247">
            <v>60.37</v>
          </cell>
        </row>
        <row r="4248">
          <cell r="A4248" t="str">
            <v>LAF8121</v>
          </cell>
          <cell r="B4248" t="str">
            <v>D</v>
          </cell>
          <cell r="C4248">
            <v>54.8</v>
          </cell>
        </row>
        <row r="4249">
          <cell r="A4249" t="str">
            <v>LAF8123</v>
          </cell>
          <cell r="B4249" t="str">
            <v>D</v>
          </cell>
          <cell r="C4249">
            <v>111.24</v>
          </cell>
        </row>
        <row r="4250">
          <cell r="A4250" t="str">
            <v>LAF8124</v>
          </cell>
          <cell r="B4250" t="str">
            <v>D</v>
          </cell>
          <cell r="C4250">
            <v>46</v>
          </cell>
        </row>
        <row r="4251">
          <cell r="A4251" t="str">
            <v>LAF8125</v>
          </cell>
          <cell r="B4251" t="str">
            <v>D</v>
          </cell>
          <cell r="C4251">
            <v>257.99</v>
          </cell>
        </row>
        <row r="4252">
          <cell r="A4252" t="str">
            <v>LAF8126</v>
          </cell>
          <cell r="B4252" t="str">
            <v>D</v>
          </cell>
          <cell r="C4252">
            <v>115.74</v>
          </cell>
        </row>
        <row r="4253">
          <cell r="A4253" t="str">
            <v>LAF8127</v>
          </cell>
          <cell r="B4253" t="str">
            <v>D</v>
          </cell>
          <cell r="C4253">
            <v>87.47</v>
          </cell>
        </row>
        <row r="4254">
          <cell r="A4254" t="str">
            <v>LAF8130</v>
          </cell>
          <cell r="B4254" t="str">
            <v>D</v>
          </cell>
          <cell r="C4254">
            <v>133.88</v>
          </cell>
        </row>
        <row r="4255">
          <cell r="A4255" t="str">
            <v>LAF8133</v>
          </cell>
          <cell r="B4255" t="str">
            <v>D</v>
          </cell>
          <cell r="C4255">
            <v>131.79</v>
          </cell>
        </row>
        <row r="4256">
          <cell r="A4256" t="str">
            <v>L8138F</v>
          </cell>
          <cell r="B4256" t="str">
            <v>D</v>
          </cell>
          <cell r="C4256">
            <v>33.520000000000003</v>
          </cell>
        </row>
        <row r="4257">
          <cell r="A4257" t="str">
            <v>AF8140</v>
          </cell>
          <cell r="B4257" t="str">
            <v>D</v>
          </cell>
          <cell r="C4257">
            <v>40.06</v>
          </cell>
        </row>
        <row r="4258">
          <cell r="A4258" t="str">
            <v>L8141F</v>
          </cell>
          <cell r="B4258" t="str">
            <v>D</v>
          </cell>
          <cell r="C4258">
            <v>40.24</v>
          </cell>
        </row>
        <row r="4259">
          <cell r="A4259" t="str">
            <v>LAF8143</v>
          </cell>
          <cell r="B4259" t="str">
            <v>B</v>
          </cell>
          <cell r="C4259">
            <v>42</v>
          </cell>
        </row>
        <row r="4260">
          <cell r="A4260" t="str">
            <v>LAF8144</v>
          </cell>
          <cell r="B4260" t="str">
            <v>D</v>
          </cell>
          <cell r="C4260">
            <v>51.46</v>
          </cell>
        </row>
        <row r="4261">
          <cell r="A4261" t="str">
            <v>LAF8145</v>
          </cell>
          <cell r="B4261" t="str">
            <v>C</v>
          </cell>
          <cell r="C4261">
            <v>49.84</v>
          </cell>
        </row>
        <row r="4262">
          <cell r="A4262" t="str">
            <v>LAF8145MXM</v>
          </cell>
          <cell r="B4262" t="str">
            <v>N</v>
          </cell>
          <cell r="C4262">
            <v>62.09</v>
          </cell>
        </row>
        <row r="4263">
          <cell r="A4263" t="str">
            <v>LAF8146</v>
          </cell>
          <cell r="B4263" t="str">
            <v>D</v>
          </cell>
          <cell r="C4263">
            <v>126.53</v>
          </cell>
        </row>
        <row r="4264">
          <cell r="A4264" t="str">
            <v>LAF8147</v>
          </cell>
          <cell r="B4264" t="str">
            <v>D</v>
          </cell>
          <cell r="C4264">
            <v>49.19</v>
          </cell>
        </row>
        <row r="4265">
          <cell r="A4265" t="str">
            <v>LAF8148</v>
          </cell>
          <cell r="B4265" t="str">
            <v>B</v>
          </cell>
          <cell r="C4265">
            <v>39.93</v>
          </cell>
        </row>
        <row r="4266">
          <cell r="A4266" t="str">
            <v>LAF8149</v>
          </cell>
          <cell r="B4266" t="str">
            <v>A</v>
          </cell>
          <cell r="C4266">
            <v>106.26</v>
          </cell>
        </row>
        <row r="4267">
          <cell r="A4267" t="str">
            <v>LAF8149MXM</v>
          </cell>
          <cell r="B4267" t="str">
            <v>N</v>
          </cell>
          <cell r="C4267">
            <v>67.5</v>
          </cell>
        </row>
        <row r="4268">
          <cell r="A4268" t="str">
            <v>LAF8150</v>
          </cell>
          <cell r="B4268" t="str">
            <v>A</v>
          </cell>
          <cell r="C4268">
            <v>114.44</v>
          </cell>
        </row>
        <row r="4269">
          <cell r="A4269" t="str">
            <v>LAF8151</v>
          </cell>
          <cell r="B4269" t="str">
            <v>D</v>
          </cell>
          <cell r="C4269">
            <v>86.61</v>
          </cell>
        </row>
        <row r="4270">
          <cell r="A4270" t="str">
            <v>LAF8152</v>
          </cell>
          <cell r="B4270" t="str">
            <v>D</v>
          </cell>
          <cell r="C4270">
            <v>60.87</v>
          </cell>
        </row>
        <row r="4271">
          <cell r="A4271" t="str">
            <v>P8153</v>
          </cell>
          <cell r="B4271" t="str">
            <v>C</v>
          </cell>
          <cell r="C4271">
            <v>20.149999999999999</v>
          </cell>
        </row>
        <row r="4272">
          <cell r="A4272" t="str">
            <v>G8154</v>
          </cell>
          <cell r="B4272" t="str">
            <v>D</v>
          </cell>
          <cell r="C4272">
            <v>64.55</v>
          </cell>
        </row>
        <row r="4273">
          <cell r="A4273" t="str">
            <v>LAF8155</v>
          </cell>
          <cell r="B4273" t="str">
            <v>D</v>
          </cell>
          <cell r="C4273">
            <v>177.49</v>
          </cell>
        </row>
        <row r="4274">
          <cell r="A4274" t="str">
            <v>LAF8156</v>
          </cell>
          <cell r="B4274" t="str">
            <v>D</v>
          </cell>
          <cell r="C4274">
            <v>52.25</v>
          </cell>
        </row>
        <row r="4275">
          <cell r="A4275" t="str">
            <v>LAF8157</v>
          </cell>
          <cell r="B4275" t="str">
            <v>D</v>
          </cell>
          <cell r="C4275">
            <v>32.270000000000003</v>
          </cell>
        </row>
        <row r="4276">
          <cell r="A4276" t="str">
            <v>LAF8160</v>
          </cell>
          <cell r="B4276" t="str">
            <v>D</v>
          </cell>
          <cell r="C4276">
            <v>132.53</v>
          </cell>
        </row>
        <row r="4277">
          <cell r="A4277" t="str">
            <v>LAF8162</v>
          </cell>
          <cell r="B4277" t="str">
            <v>D</v>
          </cell>
          <cell r="C4277">
            <v>122.54</v>
          </cell>
        </row>
        <row r="4278">
          <cell r="A4278" t="str">
            <v>LAF8165</v>
          </cell>
          <cell r="B4278" t="str">
            <v>D</v>
          </cell>
          <cell r="C4278">
            <v>365.89</v>
          </cell>
        </row>
        <row r="4279">
          <cell r="A4279" t="str">
            <v>LAF8166</v>
          </cell>
          <cell r="B4279" t="str">
            <v>D</v>
          </cell>
          <cell r="C4279">
            <v>102.94</v>
          </cell>
        </row>
        <row r="4280">
          <cell r="A4280" t="str">
            <v>LAF8168</v>
          </cell>
          <cell r="B4280" t="str">
            <v>D</v>
          </cell>
          <cell r="C4280">
            <v>213.25</v>
          </cell>
        </row>
        <row r="4281">
          <cell r="A4281" t="str">
            <v>LAF8169</v>
          </cell>
          <cell r="B4281" t="str">
            <v>D</v>
          </cell>
          <cell r="C4281">
            <v>111.76</v>
          </cell>
        </row>
        <row r="4282">
          <cell r="A4282" t="str">
            <v>P8170</v>
          </cell>
          <cell r="B4282" t="str">
            <v>C</v>
          </cell>
          <cell r="C4282">
            <v>23.34</v>
          </cell>
        </row>
        <row r="4283">
          <cell r="A4283" t="str">
            <v>LAF8171</v>
          </cell>
          <cell r="B4283" t="str">
            <v>D</v>
          </cell>
          <cell r="C4283">
            <v>123.69</v>
          </cell>
        </row>
        <row r="4284">
          <cell r="A4284" t="str">
            <v>LAF8172</v>
          </cell>
          <cell r="B4284" t="str">
            <v>B</v>
          </cell>
          <cell r="C4284">
            <v>59.9</v>
          </cell>
        </row>
        <row r="4285">
          <cell r="A4285" t="str">
            <v>LP8172</v>
          </cell>
          <cell r="B4285" t="str">
            <v>D</v>
          </cell>
          <cell r="C4285">
            <v>29.74</v>
          </cell>
        </row>
        <row r="4286">
          <cell r="A4286" t="str">
            <v>LFH8173</v>
          </cell>
          <cell r="B4286" t="str">
            <v>D</v>
          </cell>
          <cell r="C4286">
            <v>27.44</v>
          </cell>
        </row>
        <row r="4287">
          <cell r="A4287" t="str">
            <v>LFP8174</v>
          </cell>
          <cell r="B4287" t="str">
            <v>D</v>
          </cell>
          <cell r="C4287">
            <v>134.41999999999999</v>
          </cell>
        </row>
        <row r="4288">
          <cell r="A4288" t="str">
            <v>LFP8176</v>
          </cell>
          <cell r="B4288" t="str">
            <v>D</v>
          </cell>
          <cell r="C4288">
            <v>9.4</v>
          </cell>
        </row>
        <row r="4289">
          <cell r="A4289" t="str">
            <v>LFH8177</v>
          </cell>
          <cell r="B4289" t="str">
            <v>D</v>
          </cell>
          <cell r="C4289">
            <v>63.41</v>
          </cell>
        </row>
        <row r="4290">
          <cell r="A4290" t="str">
            <v>LP8178</v>
          </cell>
          <cell r="B4290" t="str">
            <v>D</v>
          </cell>
          <cell r="C4290">
            <v>15.74</v>
          </cell>
        </row>
        <row r="4291">
          <cell r="A4291" t="str">
            <v>LAF8182</v>
          </cell>
          <cell r="B4291" t="str">
            <v>D</v>
          </cell>
          <cell r="C4291">
            <v>43.53</v>
          </cell>
        </row>
        <row r="4292">
          <cell r="A4292" t="str">
            <v>L8188F</v>
          </cell>
          <cell r="B4292" t="str">
            <v>D</v>
          </cell>
          <cell r="C4292">
            <v>14.41</v>
          </cell>
        </row>
        <row r="4293">
          <cell r="A4293" t="str">
            <v>LAF8190</v>
          </cell>
          <cell r="B4293" t="str">
            <v>D</v>
          </cell>
          <cell r="C4293">
            <v>55.07</v>
          </cell>
        </row>
        <row r="4294">
          <cell r="A4294" t="str">
            <v>AF8191</v>
          </cell>
          <cell r="B4294" t="str">
            <v>D</v>
          </cell>
          <cell r="C4294">
            <v>18.579999999999998</v>
          </cell>
        </row>
        <row r="4295">
          <cell r="A4295" t="str">
            <v>LFH8192</v>
          </cell>
          <cell r="B4295" t="str">
            <v>D</v>
          </cell>
          <cell r="C4295">
            <v>119.07</v>
          </cell>
        </row>
        <row r="4296">
          <cell r="A4296" t="str">
            <v>LAF8195</v>
          </cell>
          <cell r="B4296" t="str">
            <v>B</v>
          </cell>
          <cell r="C4296">
            <v>26.97</v>
          </cell>
        </row>
        <row r="4297">
          <cell r="A4297" t="str">
            <v>LAF8196</v>
          </cell>
          <cell r="B4297" t="str">
            <v>D</v>
          </cell>
          <cell r="C4297">
            <v>91.78</v>
          </cell>
        </row>
        <row r="4298">
          <cell r="A4298" t="str">
            <v>LFH8197</v>
          </cell>
          <cell r="B4298" t="str">
            <v>D</v>
          </cell>
          <cell r="C4298">
            <v>33.08</v>
          </cell>
        </row>
        <row r="4299">
          <cell r="A4299" t="str">
            <v>P8198</v>
          </cell>
          <cell r="B4299" t="str">
            <v>D</v>
          </cell>
          <cell r="C4299">
            <v>25.9</v>
          </cell>
        </row>
        <row r="4300">
          <cell r="A4300" t="str">
            <v>LAF8200</v>
          </cell>
          <cell r="B4300" t="str">
            <v>D</v>
          </cell>
          <cell r="C4300">
            <v>20.51</v>
          </cell>
        </row>
        <row r="4301">
          <cell r="A4301" t="str">
            <v>LAF8203</v>
          </cell>
          <cell r="B4301" t="str">
            <v>D</v>
          </cell>
          <cell r="C4301">
            <v>13.03</v>
          </cell>
        </row>
        <row r="4302">
          <cell r="A4302" t="str">
            <v>LFH8204</v>
          </cell>
          <cell r="B4302" t="str">
            <v>D</v>
          </cell>
          <cell r="C4302">
            <v>100.46</v>
          </cell>
        </row>
        <row r="4303">
          <cell r="A4303" t="str">
            <v>LFH8207</v>
          </cell>
          <cell r="B4303" t="str">
            <v>D</v>
          </cell>
          <cell r="C4303">
            <v>44.35</v>
          </cell>
        </row>
        <row r="4304">
          <cell r="A4304" t="str">
            <v>AF8208</v>
          </cell>
          <cell r="B4304" t="str">
            <v>D</v>
          </cell>
          <cell r="C4304">
            <v>22.56</v>
          </cell>
        </row>
        <row r="4305">
          <cell r="A4305" t="str">
            <v>LAF8211</v>
          </cell>
          <cell r="B4305" t="str">
            <v>D</v>
          </cell>
          <cell r="C4305">
            <v>91.19</v>
          </cell>
        </row>
        <row r="4306">
          <cell r="A4306" t="str">
            <v>LAF8212</v>
          </cell>
          <cell r="B4306" t="str">
            <v>D</v>
          </cell>
          <cell r="C4306">
            <v>59.17</v>
          </cell>
        </row>
        <row r="4307">
          <cell r="A4307" t="str">
            <v>LP8213</v>
          </cell>
          <cell r="B4307" t="str">
            <v>C</v>
          </cell>
          <cell r="C4307">
            <v>65.92</v>
          </cell>
        </row>
        <row r="4308">
          <cell r="A4308" t="str">
            <v>LP8214</v>
          </cell>
          <cell r="B4308" t="str">
            <v>D</v>
          </cell>
          <cell r="C4308">
            <v>54.84</v>
          </cell>
        </row>
        <row r="4309">
          <cell r="A4309" t="str">
            <v>LFF8215</v>
          </cell>
          <cell r="B4309" t="str">
            <v>B</v>
          </cell>
          <cell r="C4309">
            <v>34.479999999999997</v>
          </cell>
        </row>
        <row r="4310">
          <cell r="A4310" t="str">
            <v>LFH8217</v>
          </cell>
          <cell r="B4310" t="str">
            <v>B</v>
          </cell>
          <cell r="C4310">
            <v>27.05</v>
          </cell>
        </row>
        <row r="4311">
          <cell r="A4311" t="str">
            <v>LAF8218</v>
          </cell>
          <cell r="B4311" t="str">
            <v>D</v>
          </cell>
          <cell r="C4311">
            <v>76.23</v>
          </cell>
        </row>
        <row r="4312">
          <cell r="A4312" t="str">
            <v>G8219</v>
          </cell>
          <cell r="B4312" t="str">
            <v>D</v>
          </cell>
          <cell r="C4312">
            <v>11.23</v>
          </cell>
        </row>
        <row r="4313">
          <cell r="A4313" t="str">
            <v>LP8221</v>
          </cell>
          <cell r="B4313" t="str">
            <v>D</v>
          </cell>
          <cell r="C4313">
            <v>22.17</v>
          </cell>
        </row>
        <row r="4314">
          <cell r="A4314" t="str">
            <v>LFH8222</v>
          </cell>
          <cell r="B4314" t="str">
            <v>D</v>
          </cell>
          <cell r="C4314">
            <v>102.52</v>
          </cell>
        </row>
        <row r="4315">
          <cell r="A4315" t="str">
            <v>LFP8224</v>
          </cell>
          <cell r="B4315" t="str">
            <v>D</v>
          </cell>
          <cell r="C4315">
            <v>37.64</v>
          </cell>
        </row>
        <row r="4316">
          <cell r="A4316" t="str">
            <v>LAF8225</v>
          </cell>
          <cell r="B4316" t="str">
            <v>D</v>
          </cell>
          <cell r="C4316">
            <v>49.48</v>
          </cell>
        </row>
        <row r="4317">
          <cell r="A4317" t="str">
            <v>LAF8226</v>
          </cell>
          <cell r="B4317" t="str">
            <v>D</v>
          </cell>
          <cell r="C4317">
            <v>55.63</v>
          </cell>
        </row>
        <row r="4318">
          <cell r="A4318" t="str">
            <v>LFH8229</v>
          </cell>
          <cell r="B4318" t="str">
            <v>D</v>
          </cell>
          <cell r="C4318">
            <v>119.51</v>
          </cell>
        </row>
        <row r="4319">
          <cell r="A4319" t="str">
            <v>LFP8230</v>
          </cell>
          <cell r="B4319" t="str">
            <v>D</v>
          </cell>
          <cell r="C4319">
            <v>14.95</v>
          </cell>
        </row>
        <row r="4320">
          <cell r="A4320" t="str">
            <v>LP8232</v>
          </cell>
          <cell r="B4320" t="str">
            <v>D</v>
          </cell>
          <cell r="C4320">
            <v>76.209999999999994</v>
          </cell>
        </row>
        <row r="4321">
          <cell r="A4321" t="str">
            <v>LFP8235</v>
          </cell>
          <cell r="B4321" t="str">
            <v>D</v>
          </cell>
          <cell r="C4321">
            <v>32.65</v>
          </cell>
        </row>
        <row r="4322">
          <cell r="A4322" t="str">
            <v>LAF8238</v>
          </cell>
          <cell r="B4322" t="str">
            <v>D</v>
          </cell>
          <cell r="C4322">
            <v>92.41</v>
          </cell>
        </row>
        <row r="4323">
          <cell r="A4323" t="str">
            <v>LFP8239</v>
          </cell>
          <cell r="B4323" t="str">
            <v>D</v>
          </cell>
          <cell r="C4323">
            <v>36.96</v>
          </cell>
        </row>
        <row r="4324">
          <cell r="A4324" t="str">
            <v>AF8240</v>
          </cell>
          <cell r="B4324" t="str">
            <v>D</v>
          </cell>
          <cell r="C4324">
            <v>23.19</v>
          </cell>
        </row>
        <row r="4325">
          <cell r="A4325" t="str">
            <v>L8242F</v>
          </cell>
          <cell r="B4325" t="str">
            <v>D</v>
          </cell>
          <cell r="C4325">
            <v>39.61</v>
          </cell>
        </row>
        <row r="4326">
          <cell r="A4326" t="str">
            <v>LFH8243</v>
          </cell>
          <cell r="B4326" t="str">
            <v>D</v>
          </cell>
          <cell r="C4326">
            <v>23.2</v>
          </cell>
        </row>
        <row r="4327">
          <cell r="A4327" t="str">
            <v>LFP8244</v>
          </cell>
          <cell r="B4327" t="str">
            <v>D</v>
          </cell>
          <cell r="C4327">
            <v>19.57</v>
          </cell>
        </row>
        <row r="4328">
          <cell r="A4328" t="str">
            <v>LH8245</v>
          </cell>
          <cell r="B4328" t="str">
            <v>D</v>
          </cell>
          <cell r="C4328">
            <v>59.56</v>
          </cell>
        </row>
        <row r="4329">
          <cell r="A4329" t="str">
            <v>AF8248</v>
          </cell>
          <cell r="B4329" t="str">
            <v>D</v>
          </cell>
          <cell r="C4329">
            <v>19.57</v>
          </cell>
        </row>
        <row r="4330">
          <cell r="A4330" t="str">
            <v>LFP8250</v>
          </cell>
          <cell r="B4330" t="str">
            <v>D</v>
          </cell>
          <cell r="C4330">
            <v>35.86</v>
          </cell>
        </row>
        <row r="4331">
          <cell r="A4331" t="str">
            <v>L8254F</v>
          </cell>
          <cell r="B4331" t="str">
            <v>D</v>
          </cell>
          <cell r="C4331">
            <v>49.1</v>
          </cell>
        </row>
        <row r="4332">
          <cell r="A4332" t="str">
            <v>LFF8255</v>
          </cell>
          <cell r="B4332" t="str">
            <v>D</v>
          </cell>
          <cell r="C4332">
            <v>64.36</v>
          </cell>
        </row>
        <row r="4333">
          <cell r="A4333" t="str">
            <v>LAF8256</v>
          </cell>
          <cell r="B4333" t="str">
            <v>D</v>
          </cell>
          <cell r="C4333">
            <v>63.82</v>
          </cell>
        </row>
        <row r="4334">
          <cell r="A4334" t="str">
            <v>LFF8258</v>
          </cell>
          <cell r="B4334" t="str">
            <v>D</v>
          </cell>
          <cell r="C4334">
            <v>109.18</v>
          </cell>
        </row>
        <row r="4335">
          <cell r="A4335" t="str">
            <v>LFP8259</v>
          </cell>
          <cell r="B4335" t="str">
            <v>D</v>
          </cell>
          <cell r="C4335">
            <v>21.27</v>
          </cell>
        </row>
        <row r="4336">
          <cell r="A4336" t="str">
            <v>L8262F</v>
          </cell>
          <cell r="B4336" t="str">
            <v>D</v>
          </cell>
          <cell r="C4336">
            <v>19.2</v>
          </cell>
        </row>
        <row r="4337">
          <cell r="A4337" t="str">
            <v>LFH8263</v>
          </cell>
          <cell r="B4337" t="str">
            <v>B</v>
          </cell>
          <cell r="C4337">
            <v>69.77</v>
          </cell>
        </row>
        <row r="4338">
          <cell r="A4338" t="str">
            <v>LFP8266</v>
          </cell>
          <cell r="B4338" t="str">
            <v>D</v>
          </cell>
          <cell r="C4338">
            <v>21.56</v>
          </cell>
        </row>
        <row r="4339">
          <cell r="A4339" t="str">
            <v>AF8267</v>
          </cell>
          <cell r="B4339" t="str">
            <v>D</v>
          </cell>
          <cell r="C4339">
            <v>18.510000000000002</v>
          </cell>
        </row>
        <row r="4340">
          <cell r="A4340" t="str">
            <v>LFH8268</v>
          </cell>
          <cell r="B4340" t="str">
            <v>D</v>
          </cell>
          <cell r="C4340">
            <v>70.900000000000006</v>
          </cell>
        </row>
        <row r="4341">
          <cell r="A4341" t="str">
            <v>L8269F</v>
          </cell>
          <cell r="B4341" t="str">
            <v>D</v>
          </cell>
          <cell r="C4341">
            <v>34.92</v>
          </cell>
        </row>
        <row r="4342">
          <cell r="A4342" t="str">
            <v>LFF8270</v>
          </cell>
          <cell r="B4342" t="str">
            <v>D</v>
          </cell>
          <cell r="C4342">
            <v>32.97</v>
          </cell>
        </row>
        <row r="4343">
          <cell r="A4343" t="str">
            <v>G8271</v>
          </cell>
          <cell r="B4343" t="str">
            <v>D</v>
          </cell>
          <cell r="C4343">
            <v>32.43</v>
          </cell>
        </row>
        <row r="4344">
          <cell r="A4344" t="str">
            <v>LAF8272</v>
          </cell>
          <cell r="B4344" t="str">
            <v>D</v>
          </cell>
          <cell r="C4344">
            <v>26.86</v>
          </cell>
        </row>
        <row r="4345">
          <cell r="A4345" t="str">
            <v>AF8273</v>
          </cell>
          <cell r="B4345" t="str">
            <v>D</v>
          </cell>
          <cell r="C4345">
            <v>51.88</v>
          </cell>
        </row>
        <row r="4346">
          <cell r="A4346" t="str">
            <v>LAF8274</v>
          </cell>
          <cell r="B4346" t="str">
            <v>D</v>
          </cell>
          <cell r="C4346">
            <v>60.51</v>
          </cell>
        </row>
        <row r="4347">
          <cell r="A4347" t="str">
            <v>LP8275</v>
          </cell>
          <cell r="B4347" t="str">
            <v>D</v>
          </cell>
          <cell r="C4347">
            <v>39.19</v>
          </cell>
        </row>
        <row r="4348">
          <cell r="A4348" t="str">
            <v>LP8278</v>
          </cell>
          <cell r="B4348" t="str">
            <v>D</v>
          </cell>
          <cell r="C4348">
            <v>51.65</v>
          </cell>
        </row>
        <row r="4349">
          <cell r="A4349" t="str">
            <v>LFH8282</v>
          </cell>
          <cell r="B4349" t="str">
            <v>D</v>
          </cell>
          <cell r="C4349">
            <v>85.13</v>
          </cell>
        </row>
        <row r="4350">
          <cell r="A4350" t="str">
            <v>LAF8283</v>
          </cell>
          <cell r="B4350" t="str">
            <v>D</v>
          </cell>
          <cell r="C4350">
            <v>156.54</v>
          </cell>
        </row>
        <row r="4351">
          <cell r="A4351" t="str">
            <v>LAF8284</v>
          </cell>
          <cell r="B4351" t="str">
            <v>D</v>
          </cell>
          <cell r="C4351">
            <v>23.56</v>
          </cell>
        </row>
        <row r="4352">
          <cell r="A4352" t="str">
            <v>LP8285</v>
          </cell>
          <cell r="B4352" t="str">
            <v>D</v>
          </cell>
          <cell r="C4352">
            <v>216.36</v>
          </cell>
        </row>
        <row r="4353">
          <cell r="A4353" t="str">
            <v>L8287F</v>
          </cell>
          <cell r="B4353" t="str">
            <v>D</v>
          </cell>
          <cell r="C4353">
            <v>14.12</v>
          </cell>
        </row>
        <row r="4354">
          <cell r="A4354" t="str">
            <v>LFF8288</v>
          </cell>
          <cell r="B4354" t="str">
            <v>D</v>
          </cell>
          <cell r="C4354">
            <v>21.24</v>
          </cell>
        </row>
        <row r="4355">
          <cell r="A4355" t="str">
            <v>LAF8289</v>
          </cell>
          <cell r="B4355" t="str">
            <v>D</v>
          </cell>
          <cell r="C4355">
            <v>612.64</v>
          </cell>
        </row>
        <row r="4356">
          <cell r="A4356" t="str">
            <v>LP8290</v>
          </cell>
          <cell r="B4356" t="str">
            <v>D</v>
          </cell>
          <cell r="C4356">
            <v>234.86</v>
          </cell>
        </row>
        <row r="4357">
          <cell r="A4357" t="str">
            <v>LFH8293</v>
          </cell>
          <cell r="B4357" t="str">
            <v>D</v>
          </cell>
          <cell r="C4357">
            <v>19.78</v>
          </cell>
        </row>
        <row r="4358">
          <cell r="A4358" t="str">
            <v>LFH8294</v>
          </cell>
          <cell r="B4358" t="str">
            <v>D</v>
          </cell>
          <cell r="C4358">
            <v>125.61</v>
          </cell>
        </row>
        <row r="4359">
          <cell r="A4359" t="str">
            <v>LFP8295</v>
          </cell>
          <cell r="B4359" t="str">
            <v>D</v>
          </cell>
          <cell r="C4359">
            <v>30.86</v>
          </cell>
        </row>
        <row r="4360">
          <cell r="A4360" t="str">
            <v>LAF8296</v>
          </cell>
          <cell r="B4360" t="str">
            <v>D</v>
          </cell>
          <cell r="C4360">
            <v>83.7</v>
          </cell>
        </row>
        <row r="4361">
          <cell r="A4361" t="str">
            <v>LAF8301</v>
          </cell>
          <cell r="B4361" t="str">
            <v>D</v>
          </cell>
          <cell r="C4361">
            <v>50.18</v>
          </cell>
        </row>
        <row r="4362">
          <cell r="A4362" t="str">
            <v>LAF8303</v>
          </cell>
          <cell r="B4362" t="str">
            <v>D</v>
          </cell>
          <cell r="C4362">
            <v>105</v>
          </cell>
        </row>
        <row r="4363">
          <cell r="A4363" t="str">
            <v>LH8304</v>
          </cell>
          <cell r="B4363" t="str">
            <v>D</v>
          </cell>
          <cell r="C4363">
            <v>118.48</v>
          </cell>
        </row>
        <row r="4364">
          <cell r="A4364" t="str">
            <v>L8305F</v>
          </cell>
          <cell r="B4364" t="str">
            <v>D</v>
          </cell>
          <cell r="C4364">
            <v>17.5</v>
          </cell>
        </row>
        <row r="4365">
          <cell r="A4365" t="str">
            <v>LFF8307</v>
          </cell>
          <cell r="B4365" t="str">
            <v>C</v>
          </cell>
          <cell r="C4365">
            <v>16.61</v>
          </cell>
        </row>
        <row r="4366">
          <cell r="A4366" t="str">
            <v>LP8308</v>
          </cell>
          <cell r="B4366" t="str">
            <v>D</v>
          </cell>
          <cell r="C4366">
            <v>53.86</v>
          </cell>
        </row>
        <row r="4367">
          <cell r="A4367" t="str">
            <v>AF8309</v>
          </cell>
          <cell r="B4367" t="str">
            <v>D</v>
          </cell>
          <cell r="C4367">
            <v>29.08</v>
          </cell>
        </row>
        <row r="4368">
          <cell r="A4368" t="str">
            <v>LAF8310</v>
          </cell>
          <cell r="B4368" t="str">
            <v>D</v>
          </cell>
          <cell r="C4368">
            <v>29.4</v>
          </cell>
        </row>
        <row r="4369">
          <cell r="A4369" t="str">
            <v>LFP8316G</v>
          </cell>
          <cell r="B4369" t="str">
            <v>D</v>
          </cell>
          <cell r="C4369">
            <v>49.53</v>
          </cell>
        </row>
        <row r="4370">
          <cell r="A4370" t="str">
            <v>LAF8317</v>
          </cell>
          <cell r="B4370" t="str">
            <v>D</v>
          </cell>
          <cell r="C4370">
            <v>44.79</v>
          </cell>
        </row>
        <row r="4371">
          <cell r="A4371" t="str">
            <v>LP8317</v>
          </cell>
          <cell r="B4371" t="str">
            <v>D</v>
          </cell>
          <cell r="C4371">
            <v>29.16</v>
          </cell>
        </row>
        <row r="4372">
          <cell r="A4372" t="str">
            <v>LH8319</v>
          </cell>
          <cell r="B4372" t="str">
            <v>D</v>
          </cell>
          <cell r="C4372">
            <v>56.33</v>
          </cell>
        </row>
        <row r="4373">
          <cell r="A4373" t="str">
            <v>LFP8320</v>
          </cell>
          <cell r="B4373" t="str">
            <v>D</v>
          </cell>
          <cell r="C4373">
            <v>74.19</v>
          </cell>
        </row>
        <row r="4374">
          <cell r="A4374" t="str">
            <v>LFH8324</v>
          </cell>
          <cell r="B4374" t="str">
            <v>D</v>
          </cell>
          <cell r="C4374">
            <v>53.93</v>
          </cell>
        </row>
        <row r="4375">
          <cell r="A4375" t="str">
            <v>LFH8329</v>
          </cell>
          <cell r="B4375" t="str">
            <v>D</v>
          </cell>
          <cell r="C4375">
            <v>27.92</v>
          </cell>
        </row>
        <row r="4376">
          <cell r="A4376" t="str">
            <v>G8330</v>
          </cell>
          <cell r="B4376" t="str">
            <v>D</v>
          </cell>
          <cell r="C4376">
            <v>48.41</v>
          </cell>
        </row>
        <row r="4377">
          <cell r="A4377" t="str">
            <v>AF8331</v>
          </cell>
          <cell r="B4377" t="str">
            <v>D</v>
          </cell>
          <cell r="C4377">
            <v>28.65</v>
          </cell>
        </row>
        <row r="4378">
          <cell r="A4378" t="str">
            <v>LAF8333</v>
          </cell>
          <cell r="B4378" t="str">
            <v>D</v>
          </cell>
          <cell r="C4378">
            <v>55.26</v>
          </cell>
        </row>
        <row r="4379">
          <cell r="A4379" t="str">
            <v>LP8334</v>
          </cell>
          <cell r="B4379" t="str">
            <v>D</v>
          </cell>
          <cell r="C4379">
            <v>14.47</v>
          </cell>
        </row>
        <row r="4380">
          <cell r="A4380" t="str">
            <v>LFH8335</v>
          </cell>
          <cell r="B4380" t="str">
            <v>D</v>
          </cell>
          <cell r="C4380">
            <v>41.36</v>
          </cell>
        </row>
        <row r="4381">
          <cell r="A4381" t="str">
            <v>LH8336</v>
          </cell>
          <cell r="B4381" t="str">
            <v>D</v>
          </cell>
          <cell r="C4381">
            <v>42.34</v>
          </cell>
        </row>
        <row r="4382">
          <cell r="A4382" t="str">
            <v>AF8337</v>
          </cell>
          <cell r="B4382" t="str">
            <v>D</v>
          </cell>
          <cell r="C4382">
            <v>22.4</v>
          </cell>
        </row>
        <row r="4383">
          <cell r="A4383" t="str">
            <v>LAF8338</v>
          </cell>
          <cell r="B4383" t="str">
            <v>D</v>
          </cell>
          <cell r="C4383">
            <v>85.74</v>
          </cell>
        </row>
        <row r="4384">
          <cell r="A4384" t="str">
            <v>LAF8339</v>
          </cell>
          <cell r="B4384" t="str">
            <v>D</v>
          </cell>
          <cell r="C4384">
            <v>56.58</v>
          </cell>
        </row>
        <row r="4385">
          <cell r="A4385" t="str">
            <v>LFP8340</v>
          </cell>
          <cell r="B4385" t="str">
            <v>C</v>
          </cell>
          <cell r="C4385">
            <v>14.95</v>
          </cell>
        </row>
        <row r="4386">
          <cell r="A4386" t="str">
            <v>LFH8342</v>
          </cell>
          <cell r="B4386" t="str">
            <v>D</v>
          </cell>
          <cell r="C4386">
            <v>70.34</v>
          </cell>
        </row>
        <row r="4387">
          <cell r="A4387" t="str">
            <v>AF8343</v>
          </cell>
          <cell r="B4387" t="str">
            <v>D</v>
          </cell>
          <cell r="C4387">
            <v>13.85</v>
          </cell>
        </row>
        <row r="4388">
          <cell r="A4388" t="str">
            <v>P8345</v>
          </cell>
          <cell r="B4388" t="str">
            <v>D</v>
          </cell>
          <cell r="C4388">
            <v>24.21</v>
          </cell>
        </row>
        <row r="4389">
          <cell r="A4389" t="str">
            <v>LP8346</v>
          </cell>
          <cell r="B4389" t="str">
            <v>D</v>
          </cell>
          <cell r="C4389">
            <v>69.069999999999993</v>
          </cell>
        </row>
        <row r="4390">
          <cell r="A4390" t="str">
            <v>LP8347</v>
          </cell>
          <cell r="B4390" t="str">
            <v>D</v>
          </cell>
          <cell r="C4390">
            <v>122.26</v>
          </cell>
        </row>
        <row r="4391">
          <cell r="A4391" t="str">
            <v>LAF8348</v>
          </cell>
          <cell r="B4391" t="str">
            <v>D</v>
          </cell>
          <cell r="C4391">
            <v>54.53</v>
          </cell>
        </row>
        <row r="4392">
          <cell r="A4392" t="str">
            <v>LFF8349</v>
          </cell>
          <cell r="B4392" t="str">
            <v>D</v>
          </cell>
          <cell r="C4392">
            <v>68.48</v>
          </cell>
        </row>
        <row r="4393">
          <cell r="A4393" t="str">
            <v>LFF8350</v>
          </cell>
          <cell r="B4393" t="str">
            <v>B</v>
          </cell>
          <cell r="C4393">
            <v>10.58</v>
          </cell>
        </row>
        <row r="4394">
          <cell r="A4394" t="str">
            <v>LAF8352</v>
          </cell>
          <cell r="B4394" t="str">
            <v>D</v>
          </cell>
          <cell r="C4394">
            <v>147.79</v>
          </cell>
        </row>
        <row r="4395">
          <cell r="A4395" t="str">
            <v>LAF8353</v>
          </cell>
          <cell r="B4395" t="str">
            <v>D</v>
          </cell>
          <cell r="C4395">
            <v>113.48</v>
          </cell>
        </row>
        <row r="4396">
          <cell r="A4396" t="str">
            <v>LAF8354</v>
          </cell>
          <cell r="B4396" t="str">
            <v>D</v>
          </cell>
          <cell r="C4396">
            <v>62.3</v>
          </cell>
        </row>
        <row r="4397">
          <cell r="A4397" t="str">
            <v>LAF8360</v>
          </cell>
          <cell r="B4397" t="str">
            <v>D</v>
          </cell>
          <cell r="C4397">
            <v>63.44</v>
          </cell>
        </row>
        <row r="4398">
          <cell r="A4398" t="str">
            <v>LAF8361</v>
          </cell>
          <cell r="B4398" t="str">
            <v>D</v>
          </cell>
          <cell r="C4398">
            <v>178.79</v>
          </cell>
        </row>
        <row r="4399">
          <cell r="A4399" t="str">
            <v>LAF8363</v>
          </cell>
          <cell r="B4399" t="str">
            <v>D</v>
          </cell>
          <cell r="C4399">
            <v>36.31</v>
          </cell>
        </row>
        <row r="4400">
          <cell r="A4400" t="str">
            <v>AFB8365</v>
          </cell>
          <cell r="B4400" t="str">
            <v>D</v>
          </cell>
          <cell r="C4400">
            <v>4.6900000000000004</v>
          </cell>
        </row>
        <row r="4401">
          <cell r="A4401" t="str">
            <v>LFH8366</v>
          </cell>
          <cell r="B4401" t="str">
            <v>D</v>
          </cell>
          <cell r="C4401">
            <v>59.81</v>
          </cell>
        </row>
        <row r="4402">
          <cell r="A4402" t="str">
            <v>LP8367</v>
          </cell>
          <cell r="B4402" t="str">
            <v>D</v>
          </cell>
          <cell r="C4402">
            <v>265.06</v>
          </cell>
        </row>
        <row r="4403">
          <cell r="A4403" t="str">
            <v>LFH8368</v>
          </cell>
          <cell r="B4403" t="str">
            <v>D</v>
          </cell>
          <cell r="C4403">
            <v>99.14</v>
          </cell>
        </row>
        <row r="4404">
          <cell r="A4404" t="str">
            <v>LAF8375</v>
          </cell>
          <cell r="B4404" t="str">
            <v>D</v>
          </cell>
          <cell r="C4404">
            <v>82.29</v>
          </cell>
        </row>
        <row r="4405">
          <cell r="A4405" t="str">
            <v>LAF8377</v>
          </cell>
          <cell r="B4405" t="str">
            <v>D</v>
          </cell>
          <cell r="C4405">
            <v>141.88</v>
          </cell>
        </row>
        <row r="4406">
          <cell r="A4406" t="str">
            <v>LH8378</v>
          </cell>
          <cell r="B4406" t="str">
            <v>D</v>
          </cell>
          <cell r="C4406">
            <v>74.8</v>
          </cell>
        </row>
        <row r="4407">
          <cell r="A4407" t="str">
            <v>LAF8383</v>
          </cell>
          <cell r="B4407" t="str">
            <v>D</v>
          </cell>
          <cell r="C4407">
            <v>67</v>
          </cell>
        </row>
        <row r="4408">
          <cell r="A4408" t="str">
            <v>LAF8385</v>
          </cell>
          <cell r="B4408" t="str">
            <v>D</v>
          </cell>
          <cell r="C4408">
            <v>27.67</v>
          </cell>
        </row>
        <row r="4409">
          <cell r="A4409" t="str">
            <v>LAF8388</v>
          </cell>
          <cell r="B4409" t="str">
            <v>A</v>
          </cell>
          <cell r="C4409">
            <v>32.630000000000003</v>
          </cell>
        </row>
        <row r="4410">
          <cell r="A4410" t="str">
            <v>LAF8389</v>
          </cell>
          <cell r="B4410" t="str">
            <v>D</v>
          </cell>
          <cell r="C4410">
            <v>33.590000000000003</v>
          </cell>
        </row>
        <row r="4411">
          <cell r="A4411" t="str">
            <v>LAF8390</v>
          </cell>
          <cell r="B4411" t="str">
            <v>D</v>
          </cell>
          <cell r="C4411">
            <v>45.16</v>
          </cell>
        </row>
        <row r="4412">
          <cell r="A4412" t="str">
            <v>LAF8392</v>
          </cell>
          <cell r="B4412" t="str">
            <v>D</v>
          </cell>
          <cell r="C4412">
            <v>44.29</v>
          </cell>
        </row>
        <row r="4413">
          <cell r="A4413" t="str">
            <v>LAF8393</v>
          </cell>
          <cell r="B4413" t="str">
            <v>D</v>
          </cell>
          <cell r="C4413">
            <v>40.659999999999997</v>
          </cell>
        </row>
        <row r="4414">
          <cell r="A4414" t="str">
            <v>AFB8394</v>
          </cell>
          <cell r="B4414" t="str">
            <v>D</v>
          </cell>
          <cell r="C4414">
            <v>4.6900000000000004</v>
          </cell>
        </row>
        <row r="4415">
          <cell r="A4415" t="str">
            <v>LFH8395G</v>
          </cell>
          <cell r="B4415" t="str">
            <v>D</v>
          </cell>
          <cell r="C4415">
            <v>52.61</v>
          </cell>
        </row>
        <row r="4416">
          <cell r="A4416" t="str">
            <v>LP8396</v>
          </cell>
          <cell r="B4416" t="str">
            <v>D</v>
          </cell>
          <cell r="C4416">
            <v>248.43</v>
          </cell>
        </row>
        <row r="4417">
          <cell r="A4417" t="str">
            <v>LH8397</v>
          </cell>
          <cell r="B4417" t="str">
            <v>D</v>
          </cell>
          <cell r="C4417">
            <v>57.86</v>
          </cell>
        </row>
        <row r="4418">
          <cell r="A4418" t="str">
            <v>LFH8398</v>
          </cell>
          <cell r="B4418" t="str">
            <v>D</v>
          </cell>
          <cell r="C4418">
            <v>105.3</v>
          </cell>
        </row>
        <row r="4419">
          <cell r="A4419" t="str">
            <v>LFH8399</v>
          </cell>
          <cell r="B4419" t="str">
            <v>B</v>
          </cell>
          <cell r="C4419">
            <v>54.73</v>
          </cell>
        </row>
        <row r="4420">
          <cell r="A4420" t="str">
            <v>LAF8400</v>
          </cell>
          <cell r="B4420" t="str">
            <v>D</v>
          </cell>
          <cell r="C4420">
            <v>22.26</v>
          </cell>
        </row>
        <row r="4421">
          <cell r="A4421" t="str">
            <v>LAF8401</v>
          </cell>
          <cell r="B4421" t="str">
            <v>D</v>
          </cell>
          <cell r="C4421">
            <v>38.46</v>
          </cell>
        </row>
        <row r="4422">
          <cell r="A4422" t="str">
            <v>LAF8403</v>
          </cell>
          <cell r="B4422" t="str">
            <v>D</v>
          </cell>
          <cell r="C4422">
            <v>37.700000000000003</v>
          </cell>
        </row>
        <row r="4423">
          <cell r="A4423" t="str">
            <v>LAF8404</v>
          </cell>
          <cell r="B4423" t="str">
            <v>D</v>
          </cell>
          <cell r="C4423">
            <v>80.52</v>
          </cell>
        </row>
        <row r="4424">
          <cell r="A4424" t="str">
            <v>LAF8405</v>
          </cell>
          <cell r="B4424" t="str">
            <v>D</v>
          </cell>
          <cell r="C4424">
            <v>35.78</v>
          </cell>
        </row>
        <row r="4425">
          <cell r="A4425" t="str">
            <v>AFB8406</v>
          </cell>
          <cell r="B4425" t="str">
            <v>D</v>
          </cell>
          <cell r="C4425">
            <v>4.63</v>
          </cell>
        </row>
        <row r="4426">
          <cell r="A4426" t="str">
            <v>LAF8407</v>
          </cell>
          <cell r="B4426" t="str">
            <v>D</v>
          </cell>
          <cell r="C4426">
            <v>129.32</v>
          </cell>
        </row>
        <row r="4427">
          <cell r="A4427" t="str">
            <v>LAF8407MXM</v>
          </cell>
          <cell r="B4427" t="str">
            <v>N</v>
          </cell>
          <cell r="C4427">
            <v>185</v>
          </cell>
        </row>
        <row r="4428">
          <cell r="A4428" t="str">
            <v>LAF8408</v>
          </cell>
          <cell r="B4428" t="str">
            <v>D</v>
          </cell>
          <cell r="C4428">
            <v>87.43</v>
          </cell>
        </row>
        <row r="4429">
          <cell r="A4429" t="str">
            <v>LFH8409</v>
          </cell>
          <cell r="B4429" t="str">
            <v>D</v>
          </cell>
          <cell r="C4429">
            <v>47.59</v>
          </cell>
        </row>
        <row r="4430">
          <cell r="A4430" t="str">
            <v>LP8410</v>
          </cell>
          <cell r="B4430" t="str">
            <v>D</v>
          </cell>
          <cell r="C4430">
            <v>47.96</v>
          </cell>
        </row>
        <row r="4431">
          <cell r="A4431" t="str">
            <v>LFH8412</v>
          </cell>
          <cell r="B4431" t="str">
            <v>D</v>
          </cell>
          <cell r="C4431">
            <v>62.28</v>
          </cell>
        </row>
        <row r="4432">
          <cell r="A4432" t="str">
            <v>LP8413</v>
          </cell>
          <cell r="B4432" t="str">
            <v>D</v>
          </cell>
          <cell r="C4432">
            <v>75.72</v>
          </cell>
        </row>
        <row r="4433">
          <cell r="A4433" t="str">
            <v>L8414F</v>
          </cell>
          <cell r="B4433" t="str">
            <v>D</v>
          </cell>
          <cell r="C4433">
            <v>14.49</v>
          </cell>
        </row>
        <row r="4434">
          <cell r="A4434" t="str">
            <v>LH8414G</v>
          </cell>
          <cell r="B4434" t="str">
            <v>D</v>
          </cell>
          <cell r="C4434">
            <v>89.4</v>
          </cell>
        </row>
        <row r="4435">
          <cell r="A4435" t="str">
            <v>LFP8416</v>
          </cell>
          <cell r="B4435" t="str">
            <v>D</v>
          </cell>
          <cell r="C4435">
            <v>23.1</v>
          </cell>
        </row>
        <row r="4436">
          <cell r="A4436" t="str">
            <v>LFH8417</v>
          </cell>
          <cell r="B4436" t="str">
            <v>D</v>
          </cell>
          <cell r="C4436">
            <v>90.26</v>
          </cell>
        </row>
        <row r="4437">
          <cell r="A4437" t="str">
            <v>LFH8417G</v>
          </cell>
          <cell r="B4437" t="str">
            <v>N</v>
          </cell>
          <cell r="C4437">
            <v>95.43</v>
          </cell>
        </row>
        <row r="4438">
          <cell r="A4438" t="str">
            <v>LAF8420</v>
          </cell>
          <cell r="B4438" t="str">
            <v>D</v>
          </cell>
          <cell r="C4438">
            <v>17.32</v>
          </cell>
        </row>
        <row r="4439">
          <cell r="A4439" t="str">
            <v>LAF8421</v>
          </cell>
          <cell r="B4439" t="str">
            <v>D</v>
          </cell>
          <cell r="C4439">
            <v>58.95</v>
          </cell>
        </row>
        <row r="4440">
          <cell r="A4440" t="str">
            <v>AFB8423</v>
          </cell>
          <cell r="B4440" t="str">
            <v>D</v>
          </cell>
          <cell r="C4440">
            <v>9.14</v>
          </cell>
        </row>
        <row r="4441">
          <cell r="A4441" t="str">
            <v>LAF8425</v>
          </cell>
          <cell r="B4441" t="str">
            <v>D</v>
          </cell>
          <cell r="C4441">
            <v>73.33</v>
          </cell>
        </row>
        <row r="4442">
          <cell r="A4442" t="str">
            <v>LAF8426</v>
          </cell>
          <cell r="B4442" t="str">
            <v>D</v>
          </cell>
          <cell r="C4442">
            <v>47.9</v>
          </cell>
        </row>
        <row r="4443">
          <cell r="A4443" t="str">
            <v>LAF8427</v>
          </cell>
          <cell r="B4443" t="str">
            <v>D</v>
          </cell>
          <cell r="C4443">
            <v>67.89</v>
          </cell>
        </row>
        <row r="4444">
          <cell r="A4444" t="str">
            <v>LAF8428</v>
          </cell>
          <cell r="B4444" t="str">
            <v>D</v>
          </cell>
          <cell r="C4444">
            <v>47.76</v>
          </cell>
        </row>
        <row r="4445">
          <cell r="A4445" t="str">
            <v>LAF8429</v>
          </cell>
          <cell r="B4445" t="str">
            <v>N</v>
          </cell>
          <cell r="C4445">
            <v>34.47</v>
          </cell>
        </row>
        <row r="4446">
          <cell r="A4446" t="str">
            <v>LAF8430</v>
          </cell>
          <cell r="B4446" t="str">
            <v>D</v>
          </cell>
          <cell r="C4446">
            <v>163.24</v>
          </cell>
        </row>
        <row r="4447">
          <cell r="A4447" t="str">
            <v>LAF8435</v>
          </cell>
          <cell r="B4447" t="str">
            <v>D</v>
          </cell>
          <cell r="C4447">
            <v>201.61</v>
          </cell>
        </row>
        <row r="4448">
          <cell r="A4448" t="str">
            <v>LAF8436</v>
          </cell>
          <cell r="B4448" t="str">
            <v>D</v>
          </cell>
          <cell r="C4448">
            <v>61.04</v>
          </cell>
        </row>
        <row r="4449">
          <cell r="A4449" t="str">
            <v>LAF8437</v>
          </cell>
          <cell r="B4449" t="str">
            <v>D</v>
          </cell>
          <cell r="C4449">
            <v>170.62</v>
          </cell>
        </row>
        <row r="4450">
          <cell r="A4450" t="str">
            <v>AFB8440</v>
          </cell>
          <cell r="B4450" t="str">
            <v>D</v>
          </cell>
          <cell r="C4450">
            <v>4.78</v>
          </cell>
        </row>
        <row r="4451">
          <cell r="A4451" t="str">
            <v>AFB8442</v>
          </cell>
          <cell r="B4451" t="str">
            <v>D</v>
          </cell>
          <cell r="C4451">
            <v>7.28</v>
          </cell>
        </row>
        <row r="4452">
          <cell r="A4452" t="str">
            <v>P8445</v>
          </cell>
          <cell r="B4452" t="str">
            <v>D</v>
          </cell>
          <cell r="C4452">
            <v>15.79</v>
          </cell>
        </row>
        <row r="4453">
          <cell r="A4453" t="str">
            <v>LH8446</v>
          </cell>
          <cell r="B4453" t="str">
            <v>D</v>
          </cell>
          <cell r="C4453">
            <v>61.1</v>
          </cell>
        </row>
        <row r="4454">
          <cell r="A4454" t="str">
            <v>LP8447</v>
          </cell>
          <cell r="B4454" t="str">
            <v>D</v>
          </cell>
          <cell r="C4454">
            <v>45.26</v>
          </cell>
        </row>
        <row r="4455">
          <cell r="A4455" t="str">
            <v>LP8451</v>
          </cell>
          <cell r="B4455" t="str">
            <v>D</v>
          </cell>
          <cell r="C4455">
            <v>20.89</v>
          </cell>
        </row>
        <row r="4456">
          <cell r="A4456" t="str">
            <v>LFP8452</v>
          </cell>
          <cell r="B4456" t="str">
            <v>D</v>
          </cell>
          <cell r="C4456">
            <v>20.87</v>
          </cell>
        </row>
        <row r="4457">
          <cell r="A4457" t="str">
            <v>LFH8454</v>
          </cell>
          <cell r="B4457" t="str">
            <v>D</v>
          </cell>
          <cell r="C4457">
            <v>52.82</v>
          </cell>
        </row>
        <row r="4458">
          <cell r="A4458" t="str">
            <v>LP8455</v>
          </cell>
          <cell r="B4458" t="str">
            <v>D</v>
          </cell>
          <cell r="C4458">
            <v>66.94</v>
          </cell>
        </row>
        <row r="4459">
          <cell r="A4459" t="str">
            <v>LFH8456</v>
          </cell>
          <cell r="B4459" t="str">
            <v>D</v>
          </cell>
          <cell r="C4459">
            <v>187.63</v>
          </cell>
        </row>
        <row r="4460">
          <cell r="A4460" t="str">
            <v>LFH8459</v>
          </cell>
          <cell r="B4460" t="str">
            <v>D</v>
          </cell>
          <cell r="C4460">
            <v>8.08</v>
          </cell>
        </row>
        <row r="4461">
          <cell r="A4461" t="str">
            <v>LFH8460</v>
          </cell>
          <cell r="B4461" t="str">
            <v>D</v>
          </cell>
          <cell r="C4461">
            <v>202.49</v>
          </cell>
        </row>
        <row r="4462">
          <cell r="A4462" t="str">
            <v>LH8461</v>
          </cell>
          <cell r="B4462" t="str">
            <v>D</v>
          </cell>
          <cell r="C4462">
            <v>53.34</v>
          </cell>
        </row>
        <row r="4463">
          <cell r="A4463" t="str">
            <v>LFP8462</v>
          </cell>
          <cell r="B4463" t="str">
            <v>D</v>
          </cell>
          <cell r="C4463">
            <v>39.67</v>
          </cell>
        </row>
        <row r="4464">
          <cell r="A4464" t="str">
            <v>LP8466</v>
          </cell>
          <cell r="B4464" t="str">
            <v>D</v>
          </cell>
          <cell r="C4464">
            <v>28.06</v>
          </cell>
        </row>
        <row r="4465">
          <cell r="A4465" t="str">
            <v>LP8467</v>
          </cell>
          <cell r="B4465" t="str">
            <v>D</v>
          </cell>
          <cell r="C4465">
            <v>28.69</v>
          </cell>
        </row>
        <row r="4466">
          <cell r="A4466" t="str">
            <v>LFP8469</v>
          </cell>
          <cell r="B4466" t="str">
            <v>D</v>
          </cell>
          <cell r="C4466">
            <v>32.94</v>
          </cell>
        </row>
        <row r="4467">
          <cell r="A4467" t="str">
            <v>LFF8472</v>
          </cell>
          <cell r="B4467" t="str">
            <v>D</v>
          </cell>
          <cell r="C4467">
            <v>23.02</v>
          </cell>
        </row>
        <row r="4468">
          <cell r="A4468" t="str">
            <v>LP8472</v>
          </cell>
          <cell r="B4468" t="str">
            <v>D</v>
          </cell>
          <cell r="C4468">
            <v>64.12</v>
          </cell>
        </row>
        <row r="4469">
          <cell r="A4469" t="str">
            <v>LAF8473</v>
          </cell>
          <cell r="B4469" t="str">
            <v>D</v>
          </cell>
          <cell r="C4469">
            <v>83.5</v>
          </cell>
        </row>
        <row r="4470">
          <cell r="A4470" t="str">
            <v>LAF8476</v>
          </cell>
          <cell r="B4470" t="str">
            <v>D</v>
          </cell>
          <cell r="C4470">
            <v>48.86</v>
          </cell>
        </row>
        <row r="4471">
          <cell r="A4471" t="str">
            <v>LAF8477</v>
          </cell>
          <cell r="B4471" t="str">
            <v>D</v>
          </cell>
          <cell r="C4471">
            <v>97.87</v>
          </cell>
        </row>
        <row r="4472">
          <cell r="A4472" t="str">
            <v>LAF8479</v>
          </cell>
          <cell r="B4472" t="str">
            <v>D</v>
          </cell>
          <cell r="C4472">
            <v>12.69</v>
          </cell>
        </row>
        <row r="4473">
          <cell r="A4473" t="str">
            <v>LAF8480</v>
          </cell>
          <cell r="B4473" t="str">
            <v>D</v>
          </cell>
          <cell r="C4473">
            <v>48.15</v>
          </cell>
        </row>
        <row r="4474">
          <cell r="A4474" t="str">
            <v>LAF8481</v>
          </cell>
          <cell r="B4474" t="str">
            <v>D</v>
          </cell>
          <cell r="C4474">
            <v>29</v>
          </cell>
        </row>
        <row r="4475">
          <cell r="A4475" t="str">
            <v>LAF8482</v>
          </cell>
          <cell r="B4475" t="str">
            <v>D</v>
          </cell>
          <cell r="C4475">
            <v>73.5</v>
          </cell>
        </row>
        <row r="4476">
          <cell r="A4476" t="str">
            <v>LAF8483</v>
          </cell>
          <cell r="B4476" t="str">
            <v>D</v>
          </cell>
          <cell r="C4476">
            <v>77.37</v>
          </cell>
        </row>
        <row r="4477">
          <cell r="A4477" t="str">
            <v>LAF8483MXM</v>
          </cell>
          <cell r="B4477" t="str">
            <v>N</v>
          </cell>
          <cell r="C4477">
            <v>107.46</v>
          </cell>
        </row>
        <row r="4478">
          <cell r="A4478" t="str">
            <v>LFH8484</v>
          </cell>
          <cell r="B4478" t="str">
            <v>N</v>
          </cell>
          <cell r="C4478">
            <v>72.739999999999995</v>
          </cell>
        </row>
        <row r="4479">
          <cell r="A4479" t="str">
            <v>LAF8485</v>
          </cell>
          <cell r="B4479" t="str">
            <v>D</v>
          </cell>
          <cell r="C4479">
            <v>62.83</v>
          </cell>
        </row>
        <row r="4480">
          <cell r="A4480" t="str">
            <v>LAF8486</v>
          </cell>
          <cell r="B4480" t="str">
            <v>D</v>
          </cell>
          <cell r="C4480">
            <v>28.39</v>
          </cell>
        </row>
        <row r="4481">
          <cell r="A4481" t="str">
            <v>LAF8487</v>
          </cell>
          <cell r="B4481" t="str">
            <v>D</v>
          </cell>
          <cell r="C4481">
            <v>36.94</v>
          </cell>
        </row>
        <row r="4482">
          <cell r="A4482" t="str">
            <v>LH8488</v>
          </cell>
          <cell r="B4482" t="str">
            <v>D</v>
          </cell>
          <cell r="C4482">
            <v>332.61</v>
          </cell>
        </row>
        <row r="4483">
          <cell r="A4483" t="str">
            <v>LH8489G</v>
          </cell>
          <cell r="B4483" t="str">
            <v>D</v>
          </cell>
          <cell r="C4483">
            <v>108.05</v>
          </cell>
        </row>
        <row r="4484">
          <cell r="A4484" t="str">
            <v>LFH8490</v>
          </cell>
          <cell r="B4484" t="str">
            <v>N</v>
          </cell>
          <cell r="C4484">
            <v>62.72</v>
          </cell>
        </row>
        <row r="4485">
          <cell r="A4485" t="str">
            <v>LAF8491</v>
          </cell>
          <cell r="B4485" t="str">
            <v>D</v>
          </cell>
          <cell r="C4485">
            <v>52.23</v>
          </cell>
        </row>
        <row r="4486">
          <cell r="A4486" t="str">
            <v>LAF8494</v>
          </cell>
          <cell r="B4486" t="str">
            <v>B</v>
          </cell>
          <cell r="C4486">
            <v>68.040000000000006</v>
          </cell>
        </row>
        <row r="4487">
          <cell r="A4487" t="str">
            <v>LAF8494MXM</v>
          </cell>
          <cell r="B4487" t="str">
            <v>N</v>
          </cell>
          <cell r="C4487">
            <v>102.7</v>
          </cell>
        </row>
        <row r="4488">
          <cell r="A4488" t="str">
            <v>LFF8495</v>
          </cell>
          <cell r="B4488" t="str">
            <v>D</v>
          </cell>
          <cell r="C4488">
            <v>54.64</v>
          </cell>
        </row>
        <row r="4489">
          <cell r="A4489" t="str">
            <v>LAF8496</v>
          </cell>
          <cell r="B4489" t="str">
            <v>D</v>
          </cell>
          <cell r="C4489">
            <v>83.45</v>
          </cell>
        </row>
        <row r="4490">
          <cell r="A4490" t="str">
            <v>LAF8497</v>
          </cell>
          <cell r="B4490" t="str">
            <v>D</v>
          </cell>
          <cell r="C4490">
            <v>198.58</v>
          </cell>
        </row>
        <row r="4491">
          <cell r="A4491" t="str">
            <v>LH8498</v>
          </cell>
          <cell r="B4491" t="str">
            <v>D</v>
          </cell>
          <cell r="C4491">
            <v>137.30000000000001</v>
          </cell>
        </row>
        <row r="4492">
          <cell r="A4492" t="str">
            <v>LFH8499</v>
          </cell>
          <cell r="B4492" t="str">
            <v>D</v>
          </cell>
          <cell r="C4492">
            <v>71.63</v>
          </cell>
        </row>
        <row r="4493">
          <cell r="A4493" t="str">
            <v>LFH8500</v>
          </cell>
          <cell r="B4493" t="str">
            <v>B</v>
          </cell>
          <cell r="C4493">
            <v>26.86</v>
          </cell>
        </row>
        <row r="4494">
          <cell r="A4494" t="str">
            <v>LFP8501</v>
          </cell>
          <cell r="B4494" t="str">
            <v>D</v>
          </cell>
          <cell r="C4494">
            <v>48.78</v>
          </cell>
        </row>
        <row r="4495">
          <cell r="A4495" t="str">
            <v>LAF8503</v>
          </cell>
          <cell r="B4495" t="str">
            <v>D</v>
          </cell>
          <cell r="C4495">
            <v>69.569999999999993</v>
          </cell>
        </row>
        <row r="4496">
          <cell r="A4496" t="str">
            <v>LH8504</v>
          </cell>
          <cell r="B4496" t="str">
            <v>B</v>
          </cell>
          <cell r="C4496">
            <v>8.36</v>
          </cell>
        </row>
        <row r="4497">
          <cell r="A4497" t="str">
            <v>LP8505</v>
          </cell>
          <cell r="B4497" t="str">
            <v>D</v>
          </cell>
          <cell r="C4497">
            <v>37.26</v>
          </cell>
        </row>
        <row r="4498">
          <cell r="A4498" t="str">
            <v>LH8506</v>
          </cell>
          <cell r="B4498" t="str">
            <v>B</v>
          </cell>
          <cell r="C4498">
            <v>88.54</v>
          </cell>
        </row>
        <row r="4499">
          <cell r="A4499" t="str">
            <v>LFP8507</v>
          </cell>
          <cell r="B4499" t="str">
            <v>D</v>
          </cell>
          <cell r="C4499">
            <v>13.12</v>
          </cell>
        </row>
        <row r="4500">
          <cell r="A4500" t="str">
            <v>LAF8508</v>
          </cell>
          <cell r="B4500" t="str">
            <v>D</v>
          </cell>
          <cell r="C4500">
            <v>83.53</v>
          </cell>
        </row>
        <row r="4501">
          <cell r="A4501" t="str">
            <v>LFP8509</v>
          </cell>
          <cell r="B4501" t="str">
            <v>D</v>
          </cell>
          <cell r="C4501">
            <v>9.99</v>
          </cell>
        </row>
        <row r="4502">
          <cell r="A4502" t="str">
            <v>LH8510</v>
          </cell>
          <cell r="B4502" t="str">
            <v>D</v>
          </cell>
          <cell r="C4502">
            <v>15.86</v>
          </cell>
        </row>
        <row r="4503">
          <cell r="A4503" t="str">
            <v>LP8511</v>
          </cell>
          <cell r="B4503" t="str">
            <v>D</v>
          </cell>
          <cell r="C4503">
            <v>33.18</v>
          </cell>
        </row>
        <row r="4504">
          <cell r="A4504" t="str">
            <v>L8512F</v>
          </cell>
          <cell r="B4504" t="str">
            <v>D</v>
          </cell>
          <cell r="C4504">
            <v>40.840000000000003</v>
          </cell>
        </row>
        <row r="4505">
          <cell r="A4505" t="str">
            <v>LAF8513</v>
          </cell>
          <cell r="B4505" t="str">
            <v>D</v>
          </cell>
          <cell r="C4505">
            <v>37.44</v>
          </cell>
        </row>
        <row r="4506">
          <cell r="A4506" t="str">
            <v>LAF8514</v>
          </cell>
          <cell r="B4506" t="str">
            <v>D</v>
          </cell>
          <cell r="C4506">
            <v>45.81</v>
          </cell>
        </row>
        <row r="4507">
          <cell r="A4507" t="str">
            <v>LAF8515</v>
          </cell>
          <cell r="B4507" t="str">
            <v>D</v>
          </cell>
          <cell r="C4507">
            <v>65.069999999999993</v>
          </cell>
        </row>
        <row r="4508">
          <cell r="A4508" t="str">
            <v>LAF8516</v>
          </cell>
          <cell r="B4508" t="str">
            <v>D</v>
          </cell>
          <cell r="C4508">
            <v>38.68</v>
          </cell>
        </row>
        <row r="4509">
          <cell r="A4509" t="str">
            <v>LAF8517</v>
          </cell>
          <cell r="B4509" t="str">
            <v>D</v>
          </cell>
          <cell r="C4509">
            <v>45.74</v>
          </cell>
        </row>
        <row r="4510">
          <cell r="A4510" t="str">
            <v>LAF8518</v>
          </cell>
          <cell r="B4510" t="str">
            <v>D</v>
          </cell>
          <cell r="C4510">
            <v>59.92</v>
          </cell>
        </row>
        <row r="4511">
          <cell r="A4511" t="str">
            <v>LH8519</v>
          </cell>
          <cell r="B4511" t="str">
            <v>D</v>
          </cell>
          <cell r="C4511">
            <v>502.27</v>
          </cell>
        </row>
        <row r="4512">
          <cell r="A4512" t="str">
            <v>LH8520</v>
          </cell>
          <cell r="B4512" t="str">
            <v>D</v>
          </cell>
          <cell r="C4512">
            <v>143.80000000000001</v>
          </cell>
        </row>
        <row r="4513">
          <cell r="A4513" t="str">
            <v>LH8521</v>
          </cell>
          <cell r="B4513" t="str">
            <v>D</v>
          </cell>
          <cell r="C4513">
            <v>140.46</v>
          </cell>
        </row>
        <row r="4514">
          <cell r="A4514" t="str">
            <v>LH8522</v>
          </cell>
          <cell r="B4514" t="str">
            <v>D</v>
          </cell>
          <cell r="C4514">
            <v>214.17</v>
          </cell>
        </row>
        <row r="4515">
          <cell r="A4515" t="str">
            <v>LH8523</v>
          </cell>
          <cell r="B4515" t="str">
            <v>D</v>
          </cell>
          <cell r="C4515">
            <v>191.35</v>
          </cell>
        </row>
        <row r="4516">
          <cell r="A4516" t="str">
            <v>LAF8524</v>
          </cell>
          <cell r="B4516" t="str">
            <v>D</v>
          </cell>
          <cell r="C4516">
            <v>49.21</v>
          </cell>
        </row>
        <row r="4517">
          <cell r="A4517" t="str">
            <v>LAF8525</v>
          </cell>
          <cell r="B4517" t="str">
            <v>D</v>
          </cell>
          <cell r="C4517">
            <v>28.71</v>
          </cell>
        </row>
        <row r="4518">
          <cell r="A4518" t="str">
            <v>LAF8526</v>
          </cell>
          <cell r="B4518" t="str">
            <v>D</v>
          </cell>
          <cell r="C4518">
            <v>26.44</v>
          </cell>
        </row>
        <row r="4519">
          <cell r="A4519" t="str">
            <v>LAF8527</v>
          </cell>
          <cell r="B4519" t="str">
            <v>D</v>
          </cell>
          <cell r="C4519">
            <v>98.83</v>
          </cell>
        </row>
        <row r="4520">
          <cell r="A4520" t="str">
            <v>LAF8528</v>
          </cell>
          <cell r="B4520" t="str">
            <v>D</v>
          </cell>
          <cell r="C4520">
            <v>34.76</v>
          </cell>
        </row>
        <row r="4521">
          <cell r="A4521" t="str">
            <v>LAF8529</v>
          </cell>
          <cell r="B4521" t="str">
            <v>D</v>
          </cell>
          <cell r="C4521">
            <v>65.459999999999994</v>
          </cell>
        </row>
        <row r="4522">
          <cell r="A4522" t="str">
            <v>LAF8530</v>
          </cell>
          <cell r="B4522" t="str">
            <v>D</v>
          </cell>
          <cell r="C4522">
            <v>48.63</v>
          </cell>
        </row>
        <row r="4523">
          <cell r="A4523" t="str">
            <v>LAF8531</v>
          </cell>
          <cell r="B4523" t="str">
            <v>D</v>
          </cell>
          <cell r="C4523">
            <v>50.71</v>
          </cell>
        </row>
        <row r="4524">
          <cell r="A4524" t="str">
            <v>LH8532</v>
          </cell>
          <cell r="B4524" t="str">
            <v>D</v>
          </cell>
          <cell r="C4524">
            <v>67.930000000000007</v>
          </cell>
        </row>
        <row r="4525">
          <cell r="A4525" t="str">
            <v>LFH8534</v>
          </cell>
          <cell r="B4525" t="str">
            <v>D</v>
          </cell>
          <cell r="C4525">
            <v>29.02</v>
          </cell>
        </row>
        <row r="4526">
          <cell r="A4526" t="str">
            <v>LFH8535</v>
          </cell>
          <cell r="B4526" t="str">
            <v>D</v>
          </cell>
          <cell r="C4526">
            <v>43.47</v>
          </cell>
        </row>
        <row r="4527">
          <cell r="A4527" t="str">
            <v>LFH8536</v>
          </cell>
          <cell r="B4527" t="str">
            <v>D</v>
          </cell>
          <cell r="C4527">
            <v>72.72</v>
          </cell>
        </row>
        <row r="4528">
          <cell r="A4528" t="str">
            <v>LH8539</v>
          </cell>
          <cell r="B4528" t="str">
            <v>D</v>
          </cell>
          <cell r="C4528">
            <v>47.87</v>
          </cell>
        </row>
        <row r="4529">
          <cell r="A4529" t="str">
            <v>LH8540</v>
          </cell>
          <cell r="B4529" t="str">
            <v>D</v>
          </cell>
          <cell r="C4529">
            <v>36.26</v>
          </cell>
        </row>
        <row r="4530">
          <cell r="A4530" t="str">
            <v>LH8541</v>
          </cell>
          <cell r="B4530" t="str">
            <v>D</v>
          </cell>
          <cell r="C4530">
            <v>29.46</v>
          </cell>
        </row>
        <row r="4531">
          <cell r="A4531" t="str">
            <v>LH8543</v>
          </cell>
          <cell r="B4531" t="str">
            <v>D</v>
          </cell>
          <cell r="C4531">
            <v>32.340000000000003</v>
          </cell>
        </row>
        <row r="4532">
          <cell r="A4532" t="str">
            <v>LH8544</v>
          </cell>
          <cell r="B4532" t="str">
            <v>D</v>
          </cell>
          <cell r="C4532">
            <v>40.6</v>
          </cell>
        </row>
        <row r="4533">
          <cell r="A4533" t="str">
            <v>LH8545</v>
          </cell>
          <cell r="B4533" t="str">
            <v>D</v>
          </cell>
          <cell r="C4533">
            <v>28.47</v>
          </cell>
        </row>
        <row r="4534">
          <cell r="A4534" t="str">
            <v>LH8546</v>
          </cell>
          <cell r="B4534" t="str">
            <v>D</v>
          </cell>
          <cell r="C4534">
            <v>30.81</v>
          </cell>
        </row>
        <row r="4535">
          <cell r="A4535" t="str">
            <v>LAF8547</v>
          </cell>
          <cell r="B4535" t="str">
            <v>D</v>
          </cell>
          <cell r="C4535">
            <v>46.13</v>
          </cell>
        </row>
        <row r="4536">
          <cell r="A4536" t="str">
            <v>LAF8548</v>
          </cell>
          <cell r="B4536" t="str">
            <v>D</v>
          </cell>
          <cell r="C4536">
            <v>69.760000000000005</v>
          </cell>
        </row>
        <row r="4537">
          <cell r="A4537" t="str">
            <v>LAF8549</v>
          </cell>
          <cell r="B4537" t="str">
            <v>D</v>
          </cell>
          <cell r="C4537">
            <v>36.81</v>
          </cell>
        </row>
        <row r="4538">
          <cell r="A4538" t="str">
            <v>LAF8550</v>
          </cell>
          <cell r="B4538" t="str">
            <v>B</v>
          </cell>
          <cell r="C4538">
            <v>40.21</v>
          </cell>
        </row>
        <row r="4539">
          <cell r="A4539" t="str">
            <v>LAF8551</v>
          </cell>
          <cell r="B4539" t="str">
            <v>D</v>
          </cell>
          <cell r="C4539">
            <v>60.71</v>
          </cell>
        </row>
        <row r="4540">
          <cell r="A4540" t="str">
            <v>LAF8552</v>
          </cell>
          <cell r="B4540" t="str">
            <v>D</v>
          </cell>
          <cell r="C4540">
            <v>46.33</v>
          </cell>
        </row>
        <row r="4541">
          <cell r="A4541" t="str">
            <v>LAF8553</v>
          </cell>
          <cell r="B4541" t="str">
            <v>D</v>
          </cell>
          <cell r="C4541">
            <v>192.16</v>
          </cell>
        </row>
        <row r="4542">
          <cell r="A4542" t="str">
            <v>LAF8553SC</v>
          </cell>
          <cell r="B4542" t="str">
            <v>D</v>
          </cell>
          <cell r="C4542">
            <v>111.42</v>
          </cell>
        </row>
        <row r="4543">
          <cell r="A4543" t="str">
            <v>LP8554</v>
          </cell>
          <cell r="B4543" t="str">
            <v>D</v>
          </cell>
          <cell r="C4543">
            <v>15.68</v>
          </cell>
        </row>
        <row r="4544">
          <cell r="A4544" t="str">
            <v>LP8556</v>
          </cell>
          <cell r="B4544" t="str">
            <v>D</v>
          </cell>
          <cell r="C4544">
            <v>61.67</v>
          </cell>
        </row>
        <row r="4545">
          <cell r="A4545" t="str">
            <v>L8557F</v>
          </cell>
          <cell r="B4545" t="str">
            <v>D</v>
          </cell>
          <cell r="C4545">
            <v>41.2</v>
          </cell>
        </row>
        <row r="4546">
          <cell r="A4546" t="str">
            <v>LAF8558</v>
          </cell>
          <cell r="B4546" t="str">
            <v>D</v>
          </cell>
          <cell r="C4546">
            <v>49.72</v>
          </cell>
        </row>
        <row r="4547">
          <cell r="A4547" t="str">
            <v>LAF8559</v>
          </cell>
          <cell r="B4547" t="str">
            <v>D</v>
          </cell>
          <cell r="C4547">
            <v>60.91</v>
          </cell>
        </row>
        <row r="4548">
          <cell r="A4548" t="str">
            <v>LAF8560</v>
          </cell>
          <cell r="B4548" t="str">
            <v>D</v>
          </cell>
          <cell r="C4548">
            <v>37.78</v>
          </cell>
        </row>
        <row r="4549">
          <cell r="A4549" t="str">
            <v>LAF8561</v>
          </cell>
          <cell r="B4549" t="str">
            <v>D</v>
          </cell>
          <cell r="C4549">
            <v>71.86</v>
          </cell>
        </row>
        <row r="4550">
          <cell r="A4550" t="str">
            <v>LAF8562</v>
          </cell>
          <cell r="B4550" t="str">
            <v>D</v>
          </cell>
          <cell r="C4550">
            <v>32.04</v>
          </cell>
        </row>
        <row r="4551">
          <cell r="A4551" t="str">
            <v>L8563F</v>
          </cell>
          <cell r="B4551" t="str">
            <v>D</v>
          </cell>
          <cell r="C4551">
            <v>39.03</v>
          </cell>
        </row>
        <row r="4552">
          <cell r="A4552" t="str">
            <v>LAF8564</v>
          </cell>
          <cell r="B4552" t="str">
            <v>D</v>
          </cell>
          <cell r="C4552">
            <v>104.58</v>
          </cell>
        </row>
        <row r="4553">
          <cell r="A4553" t="str">
            <v>LAF8565</v>
          </cell>
          <cell r="B4553" t="str">
            <v>D</v>
          </cell>
          <cell r="C4553">
            <v>116.69</v>
          </cell>
        </row>
        <row r="4554">
          <cell r="A4554" t="str">
            <v>LAF8566</v>
          </cell>
          <cell r="B4554" t="str">
            <v>D</v>
          </cell>
          <cell r="C4554">
            <v>121.22</v>
          </cell>
        </row>
        <row r="4555">
          <cell r="A4555" t="str">
            <v>LAF8567</v>
          </cell>
          <cell r="B4555" t="str">
            <v>D</v>
          </cell>
          <cell r="C4555">
            <v>54.54</v>
          </cell>
        </row>
        <row r="4556">
          <cell r="A4556" t="str">
            <v>LAF8568</v>
          </cell>
          <cell r="B4556" t="str">
            <v>D</v>
          </cell>
          <cell r="C4556">
            <v>50.67</v>
          </cell>
        </row>
        <row r="4557">
          <cell r="A4557" t="str">
            <v>L8569F</v>
          </cell>
          <cell r="B4557" t="str">
            <v>D</v>
          </cell>
          <cell r="C4557">
            <v>37.64</v>
          </cell>
        </row>
        <row r="4558">
          <cell r="A4558" t="str">
            <v>LAF8570</v>
          </cell>
          <cell r="B4558" t="str">
            <v>D</v>
          </cell>
          <cell r="C4558">
            <v>43.48</v>
          </cell>
        </row>
        <row r="4559">
          <cell r="A4559" t="str">
            <v>LAF8571</v>
          </cell>
          <cell r="B4559" t="str">
            <v>D</v>
          </cell>
          <cell r="C4559">
            <v>105.73</v>
          </cell>
        </row>
        <row r="4560">
          <cell r="A4560" t="str">
            <v>LAF8572</v>
          </cell>
          <cell r="B4560" t="str">
            <v>D</v>
          </cell>
          <cell r="C4560">
            <v>33.92</v>
          </cell>
        </row>
        <row r="4561">
          <cell r="A4561" t="str">
            <v>LAF8574</v>
          </cell>
          <cell r="B4561" t="str">
            <v>D</v>
          </cell>
          <cell r="C4561">
            <v>30.28</v>
          </cell>
        </row>
        <row r="4562">
          <cell r="A4562" t="str">
            <v>LAF8575</v>
          </cell>
          <cell r="B4562" t="str">
            <v>D</v>
          </cell>
          <cell r="C4562">
            <v>73.98</v>
          </cell>
        </row>
        <row r="4563">
          <cell r="A4563" t="str">
            <v>LAF8576</v>
          </cell>
          <cell r="B4563" t="str">
            <v>D</v>
          </cell>
          <cell r="C4563">
            <v>50.39</v>
          </cell>
        </row>
        <row r="4564">
          <cell r="A4564" t="str">
            <v>LAF8577</v>
          </cell>
          <cell r="B4564" t="str">
            <v>D</v>
          </cell>
          <cell r="C4564">
            <v>78.83</v>
          </cell>
        </row>
        <row r="4565">
          <cell r="A4565" t="str">
            <v>LAF8578</v>
          </cell>
          <cell r="B4565" t="str">
            <v>D</v>
          </cell>
          <cell r="C4565">
            <v>83.75</v>
          </cell>
        </row>
        <row r="4566">
          <cell r="A4566" t="str">
            <v>LAF8579</v>
          </cell>
          <cell r="B4566" t="str">
            <v>D</v>
          </cell>
          <cell r="C4566">
            <v>80.040000000000006</v>
          </cell>
        </row>
        <row r="4567">
          <cell r="A4567" t="str">
            <v>LAF8580</v>
          </cell>
          <cell r="B4567" t="str">
            <v>D</v>
          </cell>
          <cell r="C4567">
            <v>149.94</v>
          </cell>
        </row>
        <row r="4568">
          <cell r="A4568" t="str">
            <v>LAF8581</v>
          </cell>
          <cell r="B4568" t="str">
            <v>D</v>
          </cell>
          <cell r="C4568">
            <v>66.760000000000005</v>
          </cell>
        </row>
        <row r="4569">
          <cell r="A4569" t="str">
            <v>LAF8582</v>
          </cell>
          <cell r="B4569" t="str">
            <v>D</v>
          </cell>
          <cell r="C4569">
            <v>55.44</v>
          </cell>
        </row>
        <row r="4570">
          <cell r="A4570" t="str">
            <v>LAF8583</v>
          </cell>
          <cell r="B4570" t="str">
            <v>D</v>
          </cell>
          <cell r="C4570">
            <v>62.13</v>
          </cell>
        </row>
        <row r="4571">
          <cell r="A4571" t="str">
            <v>LAF8584</v>
          </cell>
          <cell r="B4571" t="str">
            <v>D</v>
          </cell>
          <cell r="C4571">
            <v>59.67</v>
          </cell>
        </row>
        <row r="4572">
          <cell r="A4572" t="str">
            <v>LAF8585</v>
          </cell>
          <cell r="B4572" t="str">
            <v>D</v>
          </cell>
          <cell r="C4572">
            <v>65.25</v>
          </cell>
        </row>
        <row r="4573">
          <cell r="A4573" t="str">
            <v>LAF8586</v>
          </cell>
          <cell r="B4573" t="str">
            <v>D</v>
          </cell>
          <cell r="C4573">
            <v>93.42</v>
          </cell>
        </row>
        <row r="4574">
          <cell r="A4574" t="str">
            <v>LAF8587</v>
          </cell>
          <cell r="B4574" t="str">
            <v>D</v>
          </cell>
          <cell r="C4574">
            <v>30.09</v>
          </cell>
        </row>
        <row r="4575">
          <cell r="A4575" t="str">
            <v>LAF8588</v>
          </cell>
          <cell r="B4575" t="str">
            <v>D</v>
          </cell>
          <cell r="C4575">
            <v>60.22</v>
          </cell>
        </row>
        <row r="4576">
          <cell r="A4576" t="str">
            <v>LAF8589</v>
          </cell>
          <cell r="B4576" t="str">
            <v>D</v>
          </cell>
          <cell r="C4576">
            <v>41.54</v>
          </cell>
        </row>
        <row r="4577">
          <cell r="A4577" t="str">
            <v>LFP8590</v>
          </cell>
          <cell r="B4577" t="str">
            <v>C</v>
          </cell>
          <cell r="C4577">
            <v>28.18</v>
          </cell>
        </row>
        <row r="4578">
          <cell r="A4578" t="str">
            <v>LP8592</v>
          </cell>
          <cell r="B4578" t="str">
            <v>D</v>
          </cell>
          <cell r="C4578">
            <v>36.520000000000003</v>
          </cell>
        </row>
        <row r="4579">
          <cell r="A4579" t="str">
            <v>LFH8593</v>
          </cell>
          <cell r="B4579" t="str">
            <v>D</v>
          </cell>
          <cell r="C4579">
            <v>26.54</v>
          </cell>
        </row>
        <row r="4580">
          <cell r="A4580" t="str">
            <v>LFH8594</v>
          </cell>
          <cell r="B4580" t="str">
            <v>D</v>
          </cell>
          <cell r="C4580">
            <v>49.38</v>
          </cell>
        </row>
        <row r="4581">
          <cell r="A4581" t="str">
            <v>LFH8595</v>
          </cell>
          <cell r="B4581" t="str">
            <v>D</v>
          </cell>
          <cell r="C4581">
            <v>38.4</v>
          </cell>
        </row>
        <row r="4582">
          <cell r="A4582" t="str">
            <v>LFH8596</v>
          </cell>
          <cell r="B4582" t="str">
            <v>D</v>
          </cell>
          <cell r="C4582">
            <v>61.35</v>
          </cell>
        </row>
        <row r="4583">
          <cell r="A4583" t="str">
            <v>LAF8597</v>
          </cell>
          <cell r="B4583" t="str">
            <v>D</v>
          </cell>
          <cell r="C4583">
            <v>24.94</v>
          </cell>
        </row>
        <row r="4584">
          <cell r="A4584" t="str">
            <v>LAF8598</v>
          </cell>
          <cell r="B4584" t="str">
            <v>D</v>
          </cell>
          <cell r="C4584">
            <v>48.14</v>
          </cell>
        </row>
        <row r="4585">
          <cell r="A4585" t="str">
            <v>LAF8599</v>
          </cell>
          <cell r="B4585" t="str">
            <v>D</v>
          </cell>
          <cell r="C4585">
            <v>61.56</v>
          </cell>
        </row>
        <row r="4586">
          <cell r="A4586" t="str">
            <v>LH8599</v>
          </cell>
          <cell r="B4586" t="str">
            <v>D</v>
          </cell>
          <cell r="C4586">
            <v>53.83</v>
          </cell>
        </row>
        <row r="4587">
          <cell r="A4587" t="str">
            <v>LAF8600</v>
          </cell>
          <cell r="B4587" t="str">
            <v>D</v>
          </cell>
          <cell r="C4587">
            <v>88.7</v>
          </cell>
        </row>
        <row r="4588">
          <cell r="A4588" t="str">
            <v>LAF8601</v>
          </cell>
          <cell r="B4588" t="str">
            <v>D</v>
          </cell>
          <cell r="C4588">
            <v>78.2</v>
          </cell>
        </row>
        <row r="4589">
          <cell r="A4589" t="str">
            <v>LAF8602</v>
          </cell>
          <cell r="B4589" t="str">
            <v>D</v>
          </cell>
          <cell r="C4589">
            <v>41.82</v>
          </cell>
        </row>
        <row r="4590">
          <cell r="A4590" t="str">
            <v>LAF8603</v>
          </cell>
          <cell r="B4590" t="str">
            <v>D</v>
          </cell>
          <cell r="C4590">
            <v>59.24</v>
          </cell>
        </row>
        <row r="4591">
          <cell r="A4591" t="str">
            <v>LAF8604</v>
          </cell>
          <cell r="B4591" t="str">
            <v>D</v>
          </cell>
          <cell r="C4591">
            <v>95.57</v>
          </cell>
        </row>
        <row r="4592">
          <cell r="A4592" t="str">
            <v>LAF8605</v>
          </cell>
          <cell r="B4592" t="str">
            <v>D</v>
          </cell>
          <cell r="C4592">
            <v>45.2</v>
          </cell>
        </row>
        <row r="4593">
          <cell r="A4593" t="str">
            <v>LAF8606</v>
          </cell>
          <cell r="B4593" t="str">
            <v>D</v>
          </cell>
          <cell r="C4593">
            <v>37.82</v>
          </cell>
        </row>
        <row r="4594">
          <cell r="A4594" t="str">
            <v>LAF8607</v>
          </cell>
          <cell r="B4594" t="str">
            <v>D</v>
          </cell>
          <cell r="C4594">
            <v>54.08</v>
          </cell>
        </row>
        <row r="4595">
          <cell r="A4595" t="str">
            <v>LAF8608</v>
          </cell>
          <cell r="B4595" t="str">
            <v>D</v>
          </cell>
          <cell r="C4595">
            <v>50.6</v>
          </cell>
        </row>
        <row r="4596">
          <cell r="A4596" t="str">
            <v>LAF8609</v>
          </cell>
          <cell r="B4596" t="str">
            <v>D</v>
          </cell>
          <cell r="C4596">
            <v>62.57</v>
          </cell>
        </row>
        <row r="4597">
          <cell r="A4597" t="str">
            <v>LAF8610</v>
          </cell>
          <cell r="B4597" t="str">
            <v>D</v>
          </cell>
          <cell r="C4597">
            <v>65.84</v>
          </cell>
        </row>
        <row r="4598">
          <cell r="A4598" t="str">
            <v>LAF8611</v>
          </cell>
          <cell r="B4598" t="str">
            <v>D</v>
          </cell>
          <cell r="C4598">
            <v>190.51</v>
          </cell>
        </row>
        <row r="4599">
          <cell r="A4599" t="str">
            <v>LAF8612</v>
          </cell>
          <cell r="B4599" t="str">
            <v>D</v>
          </cell>
          <cell r="C4599">
            <v>146.76</v>
          </cell>
        </row>
        <row r="4600">
          <cell r="A4600" t="str">
            <v>LAF8613</v>
          </cell>
          <cell r="B4600" t="str">
            <v>D</v>
          </cell>
          <cell r="C4600">
            <v>86.14</v>
          </cell>
        </row>
        <row r="4601">
          <cell r="A4601" t="str">
            <v>LAF8615</v>
          </cell>
          <cell r="B4601" t="str">
            <v>D</v>
          </cell>
          <cell r="C4601">
            <v>36.1</v>
          </cell>
        </row>
        <row r="4602">
          <cell r="A4602" t="str">
            <v>LAF8616</v>
          </cell>
          <cell r="B4602" t="str">
            <v>D</v>
          </cell>
          <cell r="C4602">
            <v>225.88</v>
          </cell>
        </row>
        <row r="4603">
          <cell r="A4603" t="str">
            <v>LAF8617</v>
          </cell>
          <cell r="B4603" t="str">
            <v>D</v>
          </cell>
          <cell r="C4603">
            <v>75.42</v>
          </cell>
        </row>
        <row r="4604">
          <cell r="A4604" t="str">
            <v>LAF8618</v>
          </cell>
          <cell r="B4604" t="str">
            <v>D</v>
          </cell>
          <cell r="C4604">
            <v>35.82</v>
          </cell>
        </row>
        <row r="4605">
          <cell r="A4605" t="str">
            <v>LAF8619</v>
          </cell>
          <cell r="B4605" t="str">
            <v>D</v>
          </cell>
          <cell r="C4605">
            <v>54.02</v>
          </cell>
        </row>
        <row r="4606">
          <cell r="A4606" t="str">
            <v>LAF8620</v>
          </cell>
          <cell r="B4606" t="str">
            <v>D</v>
          </cell>
          <cell r="C4606">
            <v>32.6</v>
          </cell>
        </row>
        <row r="4607">
          <cell r="A4607" t="str">
            <v>LAF8621</v>
          </cell>
          <cell r="B4607" t="str">
            <v>D</v>
          </cell>
          <cell r="C4607">
            <v>90.03</v>
          </cell>
        </row>
        <row r="4608">
          <cell r="A4608" t="str">
            <v>LAF8622</v>
          </cell>
          <cell r="B4608" t="str">
            <v>D</v>
          </cell>
          <cell r="C4608">
            <v>51.67</v>
          </cell>
        </row>
        <row r="4609">
          <cell r="A4609" t="str">
            <v>LAF8623</v>
          </cell>
          <cell r="B4609" t="str">
            <v>D</v>
          </cell>
          <cell r="C4609">
            <v>72.14</v>
          </cell>
        </row>
        <row r="4610">
          <cell r="A4610" t="str">
            <v>LAF8624</v>
          </cell>
          <cell r="B4610" t="str">
            <v>D</v>
          </cell>
          <cell r="C4610">
            <v>113.94</v>
          </cell>
        </row>
        <row r="4611">
          <cell r="A4611" t="str">
            <v>LAF8625</v>
          </cell>
          <cell r="B4611" t="str">
            <v>D</v>
          </cell>
          <cell r="C4611">
            <v>36.75</v>
          </cell>
        </row>
        <row r="4612">
          <cell r="A4612" t="str">
            <v>LAF8626</v>
          </cell>
          <cell r="B4612" t="str">
            <v>D</v>
          </cell>
          <cell r="C4612">
            <v>28.94</v>
          </cell>
        </row>
        <row r="4613">
          <cell r="A4613" t="str">
            <v>LAF8627</v>
          </cell>
          <cell r="B4613" t="str">
            <v>D</v>
          </cell>
          <cell r="C4613">
            <v>90.65</v>
          </cell>
        </row>
        <row r="4614">
          <cell r="A4614" t="str">
            <v>LAF8628</v>
          </cell>
          <cell r="B4614" t="str">
            <v>D</v>
          </cell>
          <cell r="C4614">
            <v>17.95</v>
          </cell>
        </row>
        <row r="4615">
          <cell r="A4615" t="str">
            <v>LAF8629</v>
          </cell>
          <cell r="B4615" t="str">
            <v>D</v>
          </cell>
          <cell r="C4615">
            <v>293.58</v>
          </cell>
        </row>
        <row r="4616">
          <cell r="A4616" t="str">
            <v>LAF8630</v>
          </cell>
          <cell r="B4616" t="str">
            <v>D</v>
          </cell>
          <cell r="C4616">
            <v>27.5</v>
          </cell>
        </row>
        <row r="4617">
          <cell r="A4617" t="str">
            <v>LAF8631</v>
          </cell>
          <cell r="B4617" t="str">
            <v>D</v>
          </cell>
          <cell r="C4617">
            <v>69.84</v>
          </cell>
        </row>
        <row r="4618">
          <cell r="A4618" t="str">
            <v>LAF8632</v>
          </cell>
          <cell r="B4618" t="str">
            <v>D</v>
          </cell>
          <cell r="C4618">
            <v>85.42</v>
          </cell>
        </row>
        <row r="4619">
          <cell r="A4619" t="str">
            <v>LAF8633</v>
          </cell>
          <cell r="B4619" t="str">
            <v>D</v>
          </cell>
          <cell r="C4619">
            <v>44.37</v>
          </cell>
        </row>
        <row r="4620">
          <cell r="A4620" t="str">
            <v>LAF8634</v>
          </cell>
          <cell r="B4620" t="str">
            <v>D</v>
          </cell>
          <cell r="C4620">
            <v>102.21</v>
          </cell>
        </row>
        <row r="4621">
          <cell r="A4621" t="str">
            <v>LAF8636</v>
          </cell>
          <cell r="B4621" t="str">
            <v>D</v>
          </cell>
          <cell r="C4621">
            <v>95.39</v>
          </cell>
        </row>
        <row r="4622">
          <cell r="A4622" t="str">
            <v>LAF8637</v>
          </cell>
          <cell r="B4622" t="str">
            <v>D</v>
          </cell>
          <cell r="C4622">
            <v>36.380000000000003</v>
          </cell>
        </row>
        <row r="4623">
          <cell r="A4623" t="str">
            <v>LAF8638</v>
          </cell>
          <cell r="B4623" t="str">
            <v>D</v>
          </cell>
          <cell r="C4623">
            <v>54.09</v>
          </cell>
        </row>
        <row r="4624">
          <cell r="A4624" t="str">
            <v>LAF8639</v>
          </cell>
          <cell r="B4624" t="str">
            <v>D</v>
          </cell>
          <cell r="C4624">
            <v>38.409999999999997</v>
          </cell>
        </row>
        <row r="4625">
          <cell r="A4625" t="str">
            <v>LH8640</v>
          </cell>
          <cell r="B4625" t="str">
            <v>D</v>
          </cell>
          <cell r="C4625">
            <v>57.84</v>
          </cell>
        </row>
        <row r="4626">
          <cell r="A4626" t="str">
            <v>LAF8641</v>
          </cell>
          <cell r="B4626" t="str">
            <v>D</v>
          </cell>
          <cell r="C4626">
            <v>56.29</v>
          </cell>
        </row>
        <row r="4627">
          <cell r="A4627" t="str">
            <v>LFP8642</v>
          </cell>
          <cell r="B4627" t="str">
            <v>A</v>
          </cell>
          <cell r="C4627">
            <v>23.46</v>
          </cell>
        </row>
        <row r="4628">
          <cell r="A4628" t="str">
            <v>LAF8643</v>
          </cell>
          <cell r="B4628" t="str">
            <v>D</v>
          </cell>
          <cell r="C4628">
            <v>36.31</v>
          </cell>
        </row>
        <row r="4629">
          <cell r="A4629" t="str">
            <v>LAF8644</v>
          </cell>
          <cell r="B4629" t="str">
            <v>D</v>
          </cell>
          <cell r="C4629">
            <v>31.32</v>
          </cell>
        </row>
        <row r="4630">
          <cell r="A4630" t="str">
            <v>LAF8645</v>
          </cell>
          <cell r="B4630" t="str">
            <v>D</v>
          </cell>
          <cell r="C4630">
            <v>40.19</v>
          </cell>
        </row>
        <row r="4631">
          <cell r="A4631" t="str">
            <v>LAF8646</v>
          </cell>
          <cell r="B4631" t="str">
            <v>D</v>
          </cell>
          <cell r="C4631">
            <v>34.01</v>
          </cell>
        </row>
        <row r="4632">
          <cell r="A4632" t="str">
            <v>LAF8647</v>
          </cell>
          <cell r="B4632" t="str">
            <v>D</v>
          </cell>
          <cell r="C4632">
            <v>92.17</v>
          </cell>
        </row>
        <row r="4633">
          <cell r="A4633" t="str">
            <v>LAF8648</v>
          </cell>
          <cell r="B4633" t="str">
            <v>D</v>
          </cell>
          <cell r="C4633">
            <v>47.31</v>
          </cell>
        </row>
        <row r="4634">
          <cell r="A4634" t="str">
            <v>LAF8649</v>
          </cell>
          <cell r="B4634" t="str">
            <v>D</v>
          </cell>
          <cell r="C4634">
            <v>114.85</v>
          </cell>
        </row>
        <row r="4635">
          <cell r="A4635" t="str">
            <v>LAF8651</v>
          </cell>
          <cell r="B4635" t="str">
            <v>D</v>
          </cell>
          <cell r="C4635">
            <v>85.3</v>
          </cell>
        </row>
        <row r="4636">
          <cell r="A4636" t="str">
            <v>LAF8652</v>
          </cell>
          <cell r="B4636" t="str">
            <v>D</v>
          </cell>
          <cell r="C4636">
            <v>210.35</v>
          </cell>
        </row>
        <row r="4637">
          <cell r="A4637" t="str">
            <v>LFP8653</v>
          </cell>
          <cell r="B4637" t="str">
            <v>D</v>
          </cell>
          <cell r="C4637">
            <v>107.8</v>
          </cell>
        </row>
        <row r="4638">
          <cell r="A4638" t="str">
            <v>LFP8654</v>
          </cell>
          <cell r="B4638" t="str">
            <v>D</v>
          </cell>
          <cell r="C4638">
            <v>57.45</v>
          </cell>
        </row>
        <row r="4639">
          <cell r="A4639" t="str">
            <v>LAF8655</v>
          </cell>
          <cell r="B4639" t="str">
            <v>D</v>
          </cell>
          <cell r="C4639">
            <v>61.78</v>
          </cell>
        </row>
        <row r="4640">
          <cell r="A4640" t="str">
            <v>LAF8656</v>
          </cell>
          <cell r="B4640" t="str">
            <v>D</v>
          </cell>
          <cell r="C4640">
            <v>107.51</v>
          </cell>
        </row>
        <row r="4641">
          <cell r="A4641" t="str">
            <v>LAF8657</v>
          </cell>
          <cell r="B4641" t="str">
            <v>D</v>
          </cell>
          <cell r="C4641">
            <v>160.49</v>
          </cell>
        </row>
        <row r="4642">
          <cell r="A4642" t="str">
            <v>LAF8658</v>
          </cell>
          <cell r="B4642" t="str">
            <v>D</v>
          </cell>
          <cell r="C4642">
            <v>103.96</v>
          </cell>
        </row>
        <row r="4643">
          <cell r="A4643" t="str">
            <v>LAF8659</v>
          </cell>
          <cell r="B4643" t="str">
            <v>D</v>
          </cell>
          <cell r="C4643">
            <v>24.23</v>
          </cell>
        </row>
        <row r="4644">
          <cell r="A4644" t="str">
            <v>LAF8660</v>
          </cell>
          <cell r="B4644" t="str">
            <v>D</v>
          </cell>
          <cell r="C4644">
            <v>104.39</v>
          </cell>
        </row>
        <row r="4645">
          <cell r="A4645" t="str">
            <v>LAF8661</v>
          </cell>
          <cell r="B4645" t="str">
            <v>D</v>
          </cell>
          <cell r="C4645">
            <v>105.08</v>
          </cell>
        </row>
        <row r="4646">
          <cell r="A4646" t="str">
            <v>LAF8662</v>
          </cell>
          <cell r="B4646" t="str">
            <v>D</v>
          </cell>
          <cell r="C4646">
            <v>30.2</v>
          </cell>
        </row>
        <row r="4647">
          <cell r="A4647" t="str">
            <v>LAF8663</v>
          </cell>
          <cell r="B4647" t="str">
            <v>D</v>
          </cell>
          <cell r="C4647">
            <v>41.69</v>
          </cell>
        </row>
        <row r="4648">
          <cell r="A4648" t="str">
            <v>LAF8664</v>
          </cell>
          <cell r="B4648" t="str">
            <v>D</v>
          </cell>
          <cell r="C4648">
            <v>99.58</v>
          </cell>
        </row>
        <row r="4649">
          <cell r="A4649" t="str">
            <v>LAF8665</v>
          </cell>
          <cell r="B4649" t="str">
            <v>D</v>
          </cell>
          <cell r="C4649">
            <v>39.39</v>
          </cell>
        </row>
        <row r="4650">
          <cell r="A4650" t="str">
            <v>LAF8666</v>
          </cell>
          <cell r="B4650" t="str">
            <v>D</v>
          </cell>
          <cell r="C4650">
            <v>53.05</v>
          </cell>
        </row>
        <row r="4651">
          <cell r="A4651" t="str">
            <v>LAF8667</v>
          </cell>
          <cell r="B4651" t="str">
            <v>D</v>
          </cell>
          <cell r="C4651">
            <v>69.66</v>
          </cell>
        </row>
        <row r="4652">
          <cell r="A4652" t="str">
            <v>LAF8668</v>
          </cell>
          <cell r="B4652" t="str">
            <v>D</v>
          </cell>
          <cell r="C4652">
            <v>47.13</v>
          </cell>
        </row>
        <row r="4653">
          <cell r="A4653" t="str">
            <v>LAF8669</v>
          </cell>
          <cell r="B4653" t="str">
            <v>A</v>
          </cell>
          <cell r="C4653">
            <v>82.55</v>
          </cell>
        </row>
        <row r="4654">
          <cell r="A4654" t="str">
            <v>LAF8669MXM</v>
          </cell>
          <cell r="B4654" t="str">
            <v>N</v>
          </cell>
          <cell r="C4654">
            <v>82.81</v>
          </cell>
        </row>
        <row r="4655">
          <cell r="A4655" t="str">
            <v>LAF8670</v>
          </cell>
          <cell r="B4655" t="str">
            <v>B</v>
          </cell>
          <cell r="C4655">
            <v>88.84</v>
          </cell>
        </row>
        <row r="4656">
          <cell r="A4656" t="str">
            <v>LAF8671</v>
          </cell>
          <cell r="B4656" t="str">
            <v>D</v>
          </cell>
          <cell r="C4656">
            <v>54.17</v>
          </cell>
        </row>
        <row r="4657">
          <cell r="A4657" t="str">
            <v>LAF8672</v>
          </cell>
          <cell r="B4657" t="str">
            <v>D</v>
          </cell>
          <cell r="C4657">
            <v>86.34</v>
          </cell>
        </row>
        <row r="4658">
          <cell r="A4658" t="str">
            <v>LAF8673</v>
          </cell>
          <cell r="B4658" t="str">
            <v>D</v>
          </cell>
          <cell r="C4658">
            <v>86.12</v>
          </cell>
        </row>
        <row r="4659">
          <cell r="A4659" t="str">
            <v>LAF8674</v>
          </cell>
          <cell r="B4659" t="str">
            <v>D</v>
          </cell>
          <cell r="C4659">
            <v>36.04</v>
          </cell>
        </row>
        <row r="4660">
          <cell r="A4660" t="str">
            <v>LAF8675</v>
          </cell>
          <cell r="B4660" t="str">
            <v>D</v>
          </cell>
          <cell r="C4660">
            <v>85.63</v>
          </cell>
        </row>
        <row r="4661">
          <cell r="A4661" t="str">
            <v>LFF8676</v>
          </cell>
          <cell r="B4661" t="str">
            <v>D</v>
          </cell>
          <cell r="C4661">
            <v>16.2</v>
          </cell>
        </row>
        <row r="4662">
          <cell r="A4662" t="str">
            <v>LFF8677</v>
          </cell>
          <cell r="B4662" t="str">
            <v>D</v>
          </cell>
          <cell r="C4662">
            <v>80.16</v>
          </cell>
        </row>
        <row r="4663">
          <cell r="A4663" t="str">
            <v>LFF8678</v>
          </cell>
          <cell r="B4663" t="str">
            <v>D</v>
          </cell>
          <cell r="C4663">
            <v>15.96</v>
          </cell>
        </row>
        <row r="4664">
          <cell r="A4664" t="str">
            <v>L8679F</v>
          </cell>
          <cell r="B4664" t="str">
            <v>D</v>
          </cell>
          <cell r="C4664">
            <v>30.63</v>
          </cell>
        </row>
        <row r="4665">
          <cell r="A4665" t="str">
            <v>L8680F</v>
          </cell>
          <cell r="B4665" t="str">
            <v>D</v>
          </cell>
          <cell r="C4665">
            <v>35.130000000000003</v>
          </cell>
        </row>
        <row r="4666">
          <cell r="A4666" t="str">
            <v>L8681F</v>
          </cell>
          <cell r="B4666" t="str">
            <v>D</v>
          </cell>
          <cell r="C4666">
            <v>29.43</v>
          </cell>
        </row>
        <row r="4667">
          <cell r="A4667" t="str">
            <v>L8682F</v>
          </cell>
          <cell r="B4667" t="str">
            <v>D</v>
          </cell>
          <cell r="C4667">
            <v>15.74</v>
          </cell>
        </row>
        <row r="4668">
          <cell r="A4668" t="str">
            <v>L8683F</v>
          </cell>
          <cell r="B4668" t="str">
            <v>C</v>
          </cell>
          <cell r="C4668">
            <v>23.19</v>
          </cell>
        </row>
        <row r="4669">
          <cell r="A4669" t="str">
            <v>L8684F</v>
          </cell>
          <cell r="B4669" t="str">
            <v>D</v>
          </cell>
          <cell r="C4669">
            <v>33.22</v>
          </cell>
        </row>
        <row r="4670">
          <cell r="A4670" t="str">
            <v>LAF8685</v>
          </cell>
          <cell r="B4670" t="str">
            <v>D</v>
          </cell>
          <cell r="C4670">
            <v>20.07</v>
          </cell>
        </row>
        <row r="4671">
          <cell r="A4671" t="str">
            <v>LAF8686</v>
          </cell>
          <cell r="B4671" t="str">
            <v>D</v>
          </cell>
          <cell r="C4671">
            <v>221.18</v>
          </cell>
        </row>
        <row r="4672">
          <cell r="A4672" t="str">
            <v>LAF8687</v>
          </cell>
          <cell r="B4672" t="str">
            <v>D</v>
          </cell>
          <cell r="C4672">
            <v>59.97</v>
          </cell>
        </row>
        <row r="4673">
          <cell r="A4673" t="str">
            <v>LAF8688</v>
          </cell>
          <cell r="B4673" t="str">
            <v>D</v>
          </cell>
          <cell r="C4673">
            <v>33.659999999999997</v>
          </cell>
        </row>
        <row r="4674">
          <cell r="A4674" t="str">
            <v>LAF8689</v>
          </cell>
          <cell r="B4674" t="str">
            <v>D</v>
          </cell>
          <cell r="C4674">
            <v>98.44</v>
          </cell>
        </row>
        <row r="4675">
          <cell r="A4675" t="str">
            <v>LAF8690</v>
          </cell>
          <cell r="B4675" t="str">
            <v>A</v>
          </cell>
          <cell r="C4675">
            <v>21.88</v>
          </cell>
        </row>
        <row r="4676">
          <cell r="A4676" t="str">
            <v>LAF8691</v>
          </cell>
          <cell r="B4676" t="str">
            <v>C</v>
          </cell>
          <cell r="C4676">
            <v>102.58</v>
          </cell>
        </row>
        <row r="4677">
          <cell r="A4677" t="str">
            <v>LAF8693</v>
          </cell>
          <cell r="B4677" t="str">
            <v>A</v>
          </cell>
          <cell r="C4677">
            <v>85.06</v>
          </cell>
        </row>
        <row r="4678">
          <cell r="A4678" t="str">
            <v>LAF8694</v>
          </cell>
          <cell r="B4678" t="str">
            <v>D</v>
          </cell>
          <cell r="C4678">
            <v>62.66</v>
          </cell>
        </row>
        <row r="4679">
          <cell r="A4679" t="str">
            <v>LAF8695</v>
          </cell>
          <cell r="B4679" t="str">
            <v>D</v>
          </cell>
          <cell r="C4679">
            <v>138.46</v>
          </cell>
        </row>
        <row r="4680">
          <cell r="A4680" t="str">
            <v>LAF8696</v>
          </cell>
          <cell r="B4680" t="str">
            <v>D</v>
          </cell>
          <cell r="C4680">
            <v>34.47</v>
          </cell>
        </row>
        <row r="4681">
          <cell r="A4681" t="str">
            <v>LAF8697</v>
          </cell>
          <cell r="B4681" t="str">
            <v>D</v>
          </cell>
          <cell r="C4681">
            <v>24.41</v>
          </cell>
        </row>
        <row r="4682">
          <cell r="A4682" t="str">
            <v>LH8698</v>
          </cell>
          <cell r="B4682" t="str">
            <v>D</v>
          </cell>
          <cell r="C4682">
            <v>44.67</v>
          </cell>
        </row>
        <row r="4683">
          <cell r="A4683" t="str">
            <v>LH8699</v>
          </cell>
          <cell r="B4683" t="str">
            <v>D</v>
          </cell>
          <cell r="C4683">
            <v>24.48</v>
          </cell>
        </row>
        <row r="4684">
          <cell r="A4684" t="str">
            <v>LP8700</v>
          </cell>
          <cell r="B4684" t="str">
            <v>C</v>
          </cell>
          <cell r="C4684">
            <v>40.54</v>
          </cell>
        </row>
        <row r="4685">
          <cell r="A4685" t="str">
            <v>L8701F</v>
          </cell>
          <cell r="B4685" t="str">
            <v>B</v>
          </cell>
          <cell r="C4685">
            <v>21.44</v>
          </cell>
        </row>
        <row r="4686">
          <cell r="A4686" t="str">
            <v>L8702F</v>
          </cell>
          <cell r="B4686" t="str">
            <v>D</v>
          </cell>
          <cell r="C4686">
            <v>16.64</v>
          </cell>
        </row>
        <row r="4687">
          <cell r="A4687" t="str">
            <v>LFP8703</v>
          </cell>
          <cell r="B4687" t="str">
            <v>B</v>
          </cell>
          <cell r="C4687">
            <v>29.14</v>
          </cell>
        </row>
        <row r="4688">
          <cell r="A4688" t="str">
            <v>LFP8704</v>
          </cell>
          <cell r="B4688" t="str">
            <v>D</v>
          </cell>
          <cell r="C4688">
            <v>22.11</v>
          </cell>
        </row>
        <row r="4689">
          <cell r="A4689" t="str">
            <v>LFH8705</v>
          </cell>
          <cell r="B4689" t="str">
            <v>D</v>
          </cell>
          <cell r="C4689">
            <v>131.71</v>
          </cell>
        </row>
        <row r="4690">
          <cell r="A4690" t="str">
            <v>L8706F</v>
          </cell>
          <cell r="B4690" t="str">
            <v>D</v>
          </cell>
          <cell r="C4690">
            <v>21.3</v>
          </cell>
        </row>
        <row r="4691">
          <cell r="A4691" t="str">
            <v>LFF8707</v>
          </cell>
          <cell r="B4691" t="str">
            <v>B</v>
          </cell>
          <cell r="C4691">
            <v>45.5</v>
          </cell>
        </row>
        <row r="4692">
          <cell r="A4692" t="str">
            <v>LFF8707U</v>
          </cell>
          <cell r="B4692" t="str">
            <v>D</v>
          </cell>
          <cell r="C4692">
            <v>37.36</v>
          </cell>
        </row>
        <row r="4693">
          <cell r="A4693" t="str">
            <v>LP8708</v>
          </cell>
          <cell r="B4693" t="str">
            <v>D</v>
          </cell>
          <cell r="C4693">
            <v>32.17</v>
          </cell>
        </row>
        <row r="4694">
          <cell r="A4694" t="str">
            <v>LFF8714</v>
          </cell>
          <cell r="B4694" t="str">
            <v>D</v>
          </cell>
          <cell r="C4694">
            <v>67.72</v>
          </cell>
        </row>
        <row r="4695">
          <cell r="A4695" t="str">
            <v>L8716F</v>
          </cell>
          <cell r="B4695" t="str">
            <v>D</v>
          </cell>
          <cell r="C4695">
            <v>34.75</v>
          </cell>
        </row>
        <row r="4696">
          <cell r="A4696" t="str">
            <v>LP8718</v>
          </cell>
          <cell r="B4696" t="str">
            <v>D</v>
          </cell>
          <cell r="C4696">
            <v>53.97</v>
          </cell>
        </row>
        <row r="4697">
          <cell r="A4697" t="str">
            <v>LP8719</v>
          </cell>
          <cell r="B4697" t="str">
            <v>D</v>
          </cell>
          <cell r="C4697">
            <v>46.64</v>
          </cell>
        </row>
        <row r="4698">
          <cell r="A4698" t="str">
            <v>LP8720</v>
          </cell>
          <cell r="B4698" t="str">
            <v>D</v>
          </cell>
          <cell r="C4698">
            <v>34.299999999999997</v>
          </cell>
        </row>
        <row r="4699">
          <cell r="A4699" t="str">
            <v>L8721F</v>
          </cell>
          <cell r="B4699" t="str">
            <v>D</v>
          </cell>
          <cell r="C4699">
            <v>38.880000000000003</v>
          </cell>
        </row>
        <row r="4700">
          <cell r="A4700" t="str">
            <v>LP8723</v>
          </cell>
          <cell r="B4700" t="str">
            <v>D</v>
          </cell>
          <cell r="C4700">
            <v>59.05</v>
          </cell>
        </row>
        <row r="4701">
          <cell r="A4701" t="str">
            <v>LP8724</v>
          </cell>
          <cell r="B4701" t="str">
            <v>D</v>
          </cell>
          <cell r="C4701">
            <v>94.85</v>
          </cell>
        </row>
        <row r="4702">
          <cell r="A4702" t="str">
            <v>LAF8725</v>
          </cell>
          <cell r="B4702" t="str">
            <v>D</v>
          </cell>
          <cell r="C4702">
            <v>90.46</v>
          </cell>
        </row>
        <row r="4703">
          <cell r="A4703" t="str">
            <v>LFH8726</v>
          </cell>
          <cell r="B4703" t="str">
            <v>D</v>
          </cell>
          <cell r="C4703">
            <v>60.28</v>
          </cell>
        </row>
        <row r="4704">
          <cell r="A4704" t="str">
            <v>LAF8727</v>
          </cell>
          <cell r="B4704" t="str">
            <v>D</v>
          </cell>
          <cell r="C4704">
            <v>87.08</v>
          </cell>
        </row>
        <row r="4705">
          <cell r="A4705" t="str">
            <v>LFF8727</v>
          </cell>
          <cell r="B4705" t="str">
            <v>D</v>
          </cell>
          <cell r="C4705">
            <v>30.04</v>
          </cell>
        </row>
        <row r="4706">
          <cell r="A4706" t="str">
            <v>LFH8728</v>
          </cell>
          <cell r="B4706" t="str">
            <v>D</v>
          </cell>
          <cell r="C4706">
            <v>40.65</v>
          </cell>
        </row>
        <row r="4707">
          <cell r="A4707" t="str">
            <v>LAF8729</v>
          </cell>
          <cell r="B4707" t="str">
            <v>D</v>
          </cell>
          <cell r="C4707">
            <v>170.13</v>
          </cell>
        </row>
        <row r="4708">
          <cell r="A4708" t="str">
            <v>LAF8730</v>
          </cell>
          <cell r="B4708" t="str">
            <v>D</v>
          </cell>
          <cell r="C4708">
            <v>60.43</v>
          </cell>
        </row>
        <row r="4709">
          <cell r="A4709" t="str">
            <v>LAF8731</v>
          </cell>
          <cell r="B4709" t="str">
            <v>D</v>
          </cell>
          <cell r="C4709">
            <v>41.52</v>
          </cell>
        </row>
        <row r="4710">
          <cell r="A4710" t="str">
            <v>LAF8732</v>
          </cell>
          <cell r="B4710" t="str">
            <v>D</v>
          </cell>
          <cell r="C4710">
            <v>40.94</v>
          </cell>
        </row>
        <row r="4711">
          <cell r="A4711" t="str">
            <v>LAF8733</v>
          </cell>
          <cell r="B4711" t="str">
            <v>D</v>
          </cell>
          <cell r="C4711">
            <v>190.65</v>
          </cell>
        </row>
        <row r="4712">
          <cell r="A4712" t="str">
            <v>LAF8734</v>
          </cell>
          <cell r="B4712" t="str">
            <v>D</v>
          </cell>
          <cell r="C4712">
            <v>99.32</v>
          </cell>
        </row>
        <row r="4713">
          <cell r="A4713" t="str">
            <v>LP8735</v>
          </cell>
          <cell r="B4713" t="str">
            <v>D</v>
          </cell>
          <cell r="C4713">
            <v>41.98</v>
          </cell>
        </row>
        <row r="4714">
          <cell r="A4714" t="str">
            <v>LAF8736</v>
          </cell>
          <cell r="B4714" t="str">
            <v>D</v>
          </cell>
          <cell r="C4714">
            <v>39.92</v>
          </cell>
        </row>
        <row r="4715">
          <cell r="A4715" t="str">
            <v>LFH8737</v>
          </cell>
          <cell r="B4715" t="str">
            <v>B</v>
          </cell>
          <cell r="C4715">
            <v>18.260000000000002</v>
          </cell>
        </row>
        <row r="4716">
          <cell r="A4716" t="str">
            <v>LFP8738</v>
          </cell>
          <cell r="B4716" t="str">
            <v>D</v>
          </cell>
          <cell r="C4716">
            <v>36.89</v>
          </cell>
        </row>
        <row r="4717">
          <cell r="A4717" t="str">
            <v>LFF8739</v>
          </cell>
          <cell r="B4717" t="str">
            <v>D</v>
          </cell>
          <cell r="C4717">
            <v>18.79</v>
          </cell>
        </row>
        <row r="4718">
          <cell r="A4718" t="str">
            <v>LFH8740G</v>
          </cell>
          <cell r="B4718" t="str">
            <v>B</v>
          </cell>
          <cell r="C4718">
            <v>64.510000000000005</v>
          </cell>
        </row>
        <row r="4719">
          <cell r="A4719" t="str">
            <v>LP8741</v>
          </cell>
          <cell r="B4719" t="str">
            <v>B</v>
          </cell>
          <cell r="C4719">
            <v>18.91</v>
          </cell>
        </row>
        <row r="4720">
          <cell r="A4720" t="str">
            <v>LH8742</v>
          </cell>
          <cell r="B4720" t="str">
            <v>D</v>
          </cell>
          <cell r="C4720">
            <v>131.35</v>
          </cell>
        </row>
        <row r="4721">
          <cell r="A4721" t="str">
            <v>LAF8743</v>
          </cell>
          <cell r="B4721" t="str">
            <v>D</v>
          </cell>
          <cell r="C4721">
            <v>23.07</v>
          </cell>
        </row>
        <row r="4722">
          <cell r="A4722" t="str">
            <v>LAF8746</v>
          </cell>
          <cell r="B4722" t="str">
            <v>D</v>
          </cell>
          <cell r="C4722">
            <v>88.73</v>
          </cell>
        </row>
        <row r="4723">
          <cell r="A4723" t="str">
            <v>LAF8747</v>
          </cell>
          <cell r="B4723" t="str">
            <v>D</v>
          </cell>
          <cell r="C4723">
            <v>46.32</v>
          </cell>
        </row>
        <row r="4724">
          <cell r="A4724" t="str">
            <v>LAF8748</v>
          </cell>
          <cell r="B4724" t="str">
            <v>D</v>
          </cell>
          <cell r="C4724">
            <v>55.88</v>
          </cell>
        </row>
        <row r="4725">
          <cell r="A4725" t="str">
            <v>LAF8749</v>
          </cell>
          <cell r="B4725" t="str">
            <v>D</v>
          </cell>
          <cell r="C4725">
            <v>69.84</v>
          </cell>
        </row>
        <row r="4726">
          <cell r="A4726" t="str">
            <v>LAF8750</v>
          </cell>
          <cell r="B4726" t="str">
            <v>D</v>
          </cell>
          <cell r="C4726">
            <v>35.43</v>
          </cell>
        </row>
        <row r="4727">
          <cell r="A4727" t="str">
            <v>LAF8751</v>
          </cell>
          <cell r="B4727" t="str">
            <v>N</v>
          </cell>
          <cell r="C4727">
            <v>109.75</v>
          </cell>
        </row>
        <row r="4728">
          <cell r="A4728" t="str">
            <v>LFP8752</v>
          </cell>
          <cell r="B4728" t="str">
            <v>D</v>
          </cell>
          <cell r="C4728">
            <v>43.95</v>
          </cell>
        </row>
        <row r="4729">
          <cell r="A4729" t="str">
            <v>LH8754</v>
          </cell>
          <cell r="B4729" t="str">
            <v>D</v>
          </cell>
          <cell r="C4729">
            <v>457.91</v>
          </cell>
        </row>
        <row r="4730">
          <cell r="A4730" t="str">
            <v>LH8755</v>
          </cell>
          <cell r="B4730" t="str">
            <v>D</v>
          </cell>
          <cell r="C4730">
            <v>62.98</v>
          </cell>
        </row>
        <row r="4731">
          <cell r="A4731" t="str">
            <v>LFH8758</v>
          </cell>
          <cell r="B4731" t="str">
            <v>D</v>
          </cell>
          <cell r="C4731">
            <v>28.47</v>
          </cell>
        </row>
        <row r="4732">
          <cell r="A4732" t="str">
            <v>LFH8759G</v>
          </cell>
          <cell r="B4732" t="str">
            <v>B</v>
          </cell>
          <cell r="C4732">
            <v>78.88</v>
          </cell>
        </row>
        <row r="4733">
          <cell r="A4733" t="str">
            <v>LFF8762</v>
          </cell>
          <cell r="B4733" t="str">
            <v>D</v>
          </cell>
          <cell r="C4733">
            <v>23.84</v>
          </cell>
        </row>
        <row r="4734">
          <cell r="A4734" t="str">
            <v>LAF8763</v>
          </cell>
          <cell r="B4734" t="str">
            <v>D</v>
          </cell>
          <cell r="C4734">
            <v>159.15</v>
          </cell>
        </row>
        <row r="4735">
          <cell r="A4735" t="str">
            <v>LAF8764</v>
          </cell>
          <cell r="B4735" t="str">
            <v>D</v>
          </cell>
          <cell r="C4735">
            <v>197.97</v>
          </cell>
        </row>
        <row r="4736">
          <cell r="A4736" t="str">
            <v>LAF8765</v>
          </cell>
          <cell r="B4736" t="str">
            <v>B</v>
          </cell>
          <cell r="C4736">
            <v>106.33</v>
          </cell>
        </row>
        <row r="4737">
          <cell r="A4737" t="str">
            <v>LAF8766</v>
          </cell>
          <cell r="B4737" t="str">
            <v>D</v>
          </cell>
          <cell r="C4737">
            <v>81.62</v>
          </cell>
        </row>
        <row r="4738">
          <cell r="A4738" t="str">
            <v>LAF8767</v>
          </cell>
          <cell r="B4738" t="str">
            <v>D</v>
          </cell>
          <cell r="C4738">
            <v>125.58</v>
          </cell>
        </row>
        <row r="4739">
          <cell r="A4739" t="str">
            <v>LAF8768</v>
          </cell>
          <cell r="B4739" t="str">
            <v>D</v>
          </cell>
          <cell r="C4739">
            <v>161.77000000000001</v>
          </cell>
        </row>
        <row r="4740">
          <cell r="A4740" t="str">
            <v>LAF8769</v>
          </cell>
          <cell r="B4740" t="str">
            <v>D</v>
          </cell>
          <cell r="C4740">
            <v>166.34</v>
          </cell>
        </row>
        <row r="4741">
          <cell r="A4741" t="str">
            <v>LAF8770</v>
          </cell>
          <cell r="B4741" t="str">
            <v>D</v>
          </cell>
          <cell r="C4741">
            <v>70.48</v>
          </cell>
        </row>
        <row r="4742">
          <cell r="A4742" t="str">
            <v>LAF8772</v>
          </cell>
          <cell r="B4742" t="str">
            <v>D</v>
          </cell>
          <cell r="C4742">
            <v>38.07</v>
          </cell>
        </row>
        <row r="4743">
          <cell r="A4743" t="str">
            <v>LAF8773</v>
          </cell>
          <cell r="B4743" t="str">
            <v>D</v>
          </cell>
          <cell r="C4743">
            <v>90.09</v>
          </cell>
        </row>
        <row r="4744">
          <cell r="A4744" t="str">
            <v>LFF8774</v>
          </cell>
          <cell r="B4744" t="str">
            <v>D</v>
          </cell>
          <cell r="C4744">
            <v>65.349999999999994</v>
          </cell>
        </row>
        <row r="4745">
          <cell r="A4745" t="str">
            <v>LAF8775</v>
          </cell>
          <cell r="B4745" t="str">
            <v>D</v>
          </cell>
          <cell r="C4745">
            <v>78.459999999999994</v>
          </cell>
        </row>
        <row r="4746">
          <cell r="A4746" t="str">
            <v>LAF8776</v>
          </cell>
          <cell r="B4746" t="str">
            <v>D</v>
          </cell>
          <cell r="C4746">
            <v>30.17</v>
          </cell>
        </row>
        <row r="4747">
          <cell r="A4747" t="str">
            <v>LAF8777</v>
          </cell>
          <cell r="B4747" t="str">
            <v>D</v>
          </cell>
          <cell r="C4747">
            <v>16.809999999999999</v>
          </cell>
        </row>
        <row r="4748">
          <cell r="A4748" t="str">
            <v>LAF8778</v>
          </cell>
          <cell r="B4748" t="str">
            <v>D</v>
          </cell>
          <cell r="C4748">
            <v>61.5</v>
          </cell>
        </row>
        <row r="4749">
          <cell r="A4749" t="str">
            <v>LAF8779</v>
          </cell>
          <cell r="B4749" t="str">
            <v>D</v>
          </cell>
          <cell r="C4749">
            <v>42.06</v>
          </cell>
        </row>
        <row r="4750">
          <cell r="A4750" t="str">
            <v>LAF8780</v>
          </cell>
          <cell r="B4750" t="str">
            <v>D</v>
          </cell>
          <cell r="C4750">
            <v>118.61</v>
          </cell>
        </row>
        <row r="4751">
          <cell r="A4751" t="str">
            <v>LH8781</v>
          </cell>
          <cell r="B4751" t="str">
            <v>D</v>
          </cell>
          <cell r="C4751">
            <v>186.14</v>
          </cell>
        </row>
        <row r="4752">
          <cell r="A4752" t="str">
            <v>LAF8782</v>
          </cell>
          <cell r="B4752" t="str">
            <v>D</v>
          </cell>
          <cell r="C4752">
            <v>38.869999999999997</v>
          </cell>
        </row>
        <row r="4753">
          <cell r="A4753" t="str">
            <v>LAF8783</v>
          </cell>
          <cell r="B4753" t="str">
            <v>D</v>
          </cell>
          <cell r="C4753">
            <v>108.85</v>
          </cell>
        </row>
        <row r="4754">
          <cell r="A4754" t="str">
            <v>LH8784G</v>
          </cell>
          <cell r="B4754" t="str">
            <v>D</v>
          </cell>
          <cell r="C4754">
            <v>106.93</v>
          </cell>
        </row>
        <row r="4755">
          <cell r="A4755" t="str">
            <v>LH8785</v>
          </cell>
          <cell r="B4755" t="str">
            <v>D</v>
          </cell>
          <cell r="C4755">
            <v>108.4</v>
          </cell>
        </row>
        <row r="4756">
          <cell r="A4756" t="str">
            <v>LAF8786</v>
          </cell>
          <cell r="B4756" t="str">
            <v>D</v>
          </cell>
          <cell r="C4756">
            <v>52.84</v>
          </cell>
        </row>
        <row r="4757">
          <cell r="A4757" t="str">
            <v>LH8787</v>
          </cell>
          <cell r="B4757" t="str">
            <v>D</v>
          </cell>
          <cell r="C4757">
            <v>50.55</v>
          </cell>
        </row>
        <row r="4758">
          <cell r="A4758" t="str">
            <v>LH8788</v>
          </cell>
          <cell r="B4758" t="str">
            <v>D</v>
          </cell>
          <cell r="C4758">
            <v>35.58</v>
          </cell>
        </row>
        <row r="4759">
          <cell r="A4759" t="str">
            <v>LAF8789</v>
          </cell>
          <cell r="B4759" t="str">
            <v>D</v>
          </cell>
          <cell r="C4759">
            <v>166.11</v>
          </cell>
        </row>
        <row r="4760">
          <cell r="A4760" t="str">
            <v>LH8790</v>
          </cell>
          <cell r="B4760" t="str">
            <v>D</v>
          </cell>
          <cell r="C4760">
            <v>83.33</v>
          </cell>
        </row>
        <row r="4761">
          <cell r="A4761" t="str">
            <v>LAF8791</v>
          </cell>
          <cell r="B4761" t="str">
            <v>N</v>
          </cell>
          <cell r="C4761">
            <v>35.47</v>
          </cell>
        </row>
        <row r="4762">
          <cell r="A4762" t="str">
            <v>LAF8792</v>
          </cell>
          <cell r="B4762" t="str">
            <v>D</v>
          </cell>
          <cell r="C4762">
            <v>84.76</v>
          </cell>
        </row>
        <row r="4763">
          <cell r="A4763" t="str">
            <v>LFH8799</v>
          </cell>
          <cell r="B4763" t="str">
            <v>D</v>
          </cell>
          <cell r="C4763">
            <v>27.12</v>
          </cell>
        </row>
        <row r="4764">
          <cell r="A4764" t="str">
            <v>LAF8800</v>
          </cell>
          <cell r="B4764" t="str">
            <v>D</v>
          </cell>
          <cell r="C4764">
            <v>147.44999999999999</v>
          </cell>
        </row>
        <row r="4765">
          <cell r="A4765" t="str">
            <v>LAF8802</v>
          </cell>
          <cell r="B4765" t="str">
            <v>D</v>
          </cell>
          <cell r="C4765">
            <v>158.88</v>
          </cell>
        </row>
        <row r="4766">
          <cell r="A4766" t="str">
            <v>LAF8803</v>
          </cell>
          <cell r="B4766" t="str">
            <v>D</v>
          </cell>
          <cell r="C4766">
            <v>37.51</v>
          </cell>
        </row>
        <row r="4767">
          <cell r="A4767" t="str">
            <v>LAF8804</v>
          </cell>
          <cell r="B4767" t="str">
            <v>D</v>
          </cell>
          <cell r="C4767">
            <v>61.62</v>
          </cell>
        </row>
        <row r="4768">
          <cell r="A4768" t="str">
            <v>LAF8805</v>
          </cell>
          <cell r="B4768" t="str">
            <v>D</v>
          </cell>
          <cell r="C4768">
            <v>56.55</v>
          </cell>
        </row>
        <row r="4769">
          <cell r="A4769" t="str">
            <v>LFF8806F</v>
          </cell>
          <cell r="B4769" t="str">
            <v>C</v>
          </cell>
          <cell r="C4769">
            <v>35.24</v>
          </cell>
        </row>
        <row r="4770">
          <cell r="A4770" t="str">
            <v>LAF8808</v>
          </cell>
          <cell r="B4770" t="str">
            <v>D</v>
          </cell>
          <cell r="C4770">
            <v>115.84</v>
          </cell>
        </row>
        <row r="4771">
          <cell r="A4771" t="str">
            <v>LAF8809</v>
          </cell>
          <cell r="B4771" t="str">
            <v>D</v>
          </cell>
          <cell r="C4771">
            <v>59.7</v>
          </cell>
        </row>
        <row r="4772">
          <cell r="A4772" t="str">
            <v>LAF8810</v>
          </cell>
          <cell r="B4772" t="str">
            <v>D</v>
          </cell>
          <cell r="C4772">
            <v>102.79</v>
          </cell>
        </row>
        <row r="4773">
          <cell r="A4773" t="str">
            <v>LAF8811</v>
          </cell>
          <cell r="B4773" t="str">
            <v>D</v>
          </cell>
          <cell r="C4773">
            <v>70.92</v>
          </cell>
        </row>
        <row r="4774">
          <cell r="A4774" t="str">
            <v>LAF8812</v>
          </cell>
          <cell r="B4774" t="str">
            <v>D</v>
          </cell>
          <cell r="C4774">
            <v>78.650000000000006</v>
          </cell>
        </row>
        <row r="4775">
          <cell r="A4775" t="str">
            <v>LFF8813</v>
          </cell>
          <cell r="B4775" t="str">
            <v>D</v>
          </cell>
          <cell r="C4775">
            <v>39.42</v>
          </cell>
        </row>
        <row r="4776">
          <cell r="A4776" t="str">
            <v>LAF8814</v>
          </cell>
          <cell r="B4776" t="str">
            <v>D</v>
          </cell>
          <cell r="C4776">
            <v>62.1</v>
          </cell>
        </row>
        <row r="4777">
          <cell r="A4777" t="str">
            <v>LAF8816</v>
          </cell>
          <cell r="B4777" t="str">
            <v>D</v>
          </cell>
          <cell r="C4777">
            <v>69.62</v>
          </cell>
        </row>
        <row r="4778">
          <cell r="A4778" t="str">
            <v>LAF8817</v>
          </cell>
          <cell r="B4778" t="str">
            <v>D</v>
          </cell>
          <cell r="C4778">
            <v>40.26</v>
          </cell>
        </row>
        <row r="4779">
          <cell r="A4779" t="str">
            <v>LAF8818</v>
          </cell>
          <cell r="B4779" t="str">
            <v>D</v>
          </cell>
          <cell r="C4779">
            <v>36.26</v>
          </cell>
        </row>
        <row r="4780">
          <cell r="A4780" t="str">
            <v>LAF8819</v>
          </cell>
          <cell r="B4780" t="str">
            <v>D</v>
          </cell>
          <cell r="C4780">
            <v>38.43</v>
          </cell>
        </row>
        <row r="4781">
          <cell r="A4781" t="str">
            <v>LAF8820</v>
          </cell>
          <cell r="B4781" t="str">
            <v>D</v>
          </cell>
          <cell r="C4781">
            <v>39.07</v>
          </cell>
        </row>
        <row r="4782">
          <cell r="A4782" t="str">
            <v>LAF8821</v>
          </cell>
          <cell r="B4782" t="str">
            <v>D</v>
          </cell>
          <cell r="C4782">
            <v>50.83</v>
          </cell>
        </row>
        <row r="4783">
          <cell r="A4783" t="str">
            <v>LAF8822</v>
          </cell>
          <cell r="B4783" t="str">
            <v>D</v>
          </cell>
          <cell r="C4783">
            <v>131.25</v>
          </cell>
        </row>
        <row r="4784">
          <cell r="A4784" t="str">
            <v>LAF8823</v>
          </cell>
          <cell r="B4784" t="str">
            <v>B</v>
          </cell>
          <cell r="C4784">
            <v>37.1</v>
          </cell>
        </row>
        <row r="4785">
          <cell r="A4785" t="str">
            <v>LAF8824</v>
          </cell>
          <cell r="B4785" t="str">
            <v>D</v>
          </cell>
          <cell r="C4785">
            <v>25.77</v>
          </cell>
        </row>
        <row r="4786">
          <cell r="A4786" t="str">
            <v>LAF8825</v>
          </cell>
          <cell r="B4786" t="str">
            <v>D</v>
          </cell>
          <cell r="C4786">
            <v>62.34</v>
          </cell>
        </row>
        <row r="4787">
          <cell r="A4787" t="str">
            <v>AF8826</v>
          </cell>
          <cell r="B4787" t="str">
            <v>D</v>
          </cell>
          <cell r="C4787">
            <v>24.21</v>
          </cell>
        </row>
        <row r="4788">
          <cell r="A4788" t="str">
            <v>LAF8827</v>
          </cell>
          <cell r="B4788" t="str">
            <v>D</v>
          </cell>
          <cell r="C4788">
            <v>112.88</v>
          </cell>
        </row>
        <row r="4789">
          <cell r="A4789" t="str">
            <v>LAF8828</v>
          </cell>
          <cell r="B4789" t="str">
            <v>D</v>
          </cell>
          <cell r="C4789">
            <v>35.49</v>
          </cell>
        </row>
        <row r="4790">
          <cell r="A4790" t="str">
            <v>LAF8829</v>
          </cell>
          <cell r="B4790" t="str">
            <v>D</v>
          </cell>
          <cell r="C4790">
            <v>59.56</v>
          </cell>
        </row>
        <row r="4791">
          <cell r="A4791" t="str">
            <v>LAF8830</v>
          </cell>
          <cell r="B4791" t="str">
            <v>D</v>
          </cell>
          <cell r="C4791">
            <v>58.59</v>
          </cell>
        </row>
        <row r="4792">
          <cell r="A4792" t="str">
            <v>LAF8831</v>
          </cell>
          <cell r="B4792" t="str">
            <v>D</v>
          </cell>
          <cell r="C4792">
            <v>138.16999999999999</v>
          </cell>
        </row>
        <row r="4793">
          <cell r="A4793" t="str">
            <v>LAF8832</v>
          </cell>
          <cell r="B4793" t="str">
            <v>D</v>
          </cell>
          <cell r="C4793">
            <v>85.64</v>
          </cell>
        </row>
        <row r="4794">
          <cell r="A4794" t="str">
            <v>LAF8833</v>
          </cell>
          <cell r="B4794" t="str">
            <v>D</v>
          </cell>
          <cell r="C4794">
            <v>74.11</v>
          </cell>
        </row>
        <row r="4795">
          <cell r="A4795" t="str">
            <v>LAF8834</v>
          </cell>
          <cell r="B4795" t="str">
            <v>D</v>
          </cell>
          <cell r="C4795">
            <v>47.3</v>
          </cell>
        </row>
        <row r="4796">
          <cell r="A4796" t="str">
            <v>LFH8835</v>
          </cell>
          <cell r="B4796" t="str">
            <v>D</v>
          </cell>
          <cell r="C4796">
            <v>126.05</v>
          </cell>
        </row>
        <row r="4797">
          <cell r="A4797" t="str">
            <v>G8836</v>
          </cell>
          <cell r="B4797" t="str">
            <v>D</v>
          </cell>
          <cell r="C4797">
            <v>21.3</v>
          </cell>
        </row>
        <row r="4798">
          <cell r="A4798" t="str">
            <v>LAF8837</v>
          </cell>
          <cell r="B4798" t="str">
            <v>B</v>
          </cell>
          <cell r="C4798">
            <v>13.89</v>
          </cell>
        </row>
        <row r="4799">
          <cell r="A4799" t="str">
            <v>LAF8838</v>
          </cell>
          <cell r="B4799" t="str">
            <v>D</v>
          </cell>
          <cell r="C4799">
            <v>139.41999999999999</v>
          </cell>
        </row>
        <row r="4800">
          <cell r="A4800" t="str">
            <v>LAF8839</v>
          </cell>
          <cell r="B4800" t="str">
            <v>D</v>
          </cell>
          <cell r="C4800">
            <v>175.52</v>
          </cell>
        </row>
        <row r="4801">
          <cell r="A4801" t="str">
            <v>LAF8840</v>
          </cell>
          <cell r="B4801" t="str">
            <v>D</v>
          </cell>
          <cell r="C4801">
            <v>61.38</v>
          </cell>
        </row>
        <row r="4802">
          <cell r="A4802" t="str">
            <v>LAF8842</v>
          </cell>
          <cell r="B4802" t="str">
            <v>D</v>
          </cell>
          <cell r="C4802">
            <v>179.06</v>
          </cell>
        </row>
        <row r="4803">
          <cell r="A4803" t="str">
            <v>LAF8844</v>
          </cell>
          <cell r="B4803" t="str">
            <v>D</v>
          </cell>
          <cell r="C4803">
            <v>137.61000000000001</v>
          </cell>
        </row>
        <row r="4804">
          <cell r="A4804" t="str">
            <v>LFP8845</v>
          </cell>
          <cell r="B4804" t="str">
            <v>N</v>
          </cell>
          <cell r="C4804">
            <v>67.040000000000006</v>
          </cell>
        </row>
        <row r="4805">
          <cell r="A4805" t="str">
            <v>PH8862</v>
          </cell>
          <cell r="B4805" t="str">
            <v>D</v>
          </cell>
          <cell r="C4805">
            <v>18.5</v>
          </cell>
        </row>
        <row r="4806">
          <cell r="A4806" t="str">
            <v>L8867F</v>
          </cell>
          <cell r="B4806" t="str">
            <v>D</v>
          </cell>
          <cell r="C4806">
            <v>39.590000000000003</v>
          </cell>
        </row>
        <row r="4807">
          <cell r="A4807" t="str">
            <v>L8868F</v>
          </cell>
          <cell r="B4807" t="str">
            <v>N</v>
          </cell>
          <cell r="C4807">
            <v>32.08</v>
          </cell>
        </row>
        <row r="4808">
          <cell r="A4808" t="str">
            <v>LAF8871</v>
          </cell>
          <cell r="B4808" t="str">
            <v>D</v>
          </cell>
          <cell r="C4808">
            <v>65.13</v>
          </cell>
        </row>
        <row r="4809">
          <cell r="A4809" t="str">
            <v>L8872F</v>
          </cell>
          <cell r="B4809" t="str">
            <v>B</v>
          </cell>
          <cell r="C4809">
            <v>45.46</v>
          </cell>
        </row>
        <row r="4810">
          <cell r="A4810" t="str">
            <v>L8874FK</v>
          </cell>
          <cell r="B4810" t="str">
            <v>N</v>
          </cell>
          <cell r="C4810">
            <v>106.92</v>
          </cell>
        </row>
        <row r="4811">
          <cell r="A4811" t="str">
            <v>LFH8875G</v>
          </cell>
          <cell r="B4811" t="str">
            <v>D</v>
          </cell>
          <cell r="C4811">
            <v>106.95</v>
          </cell>
        </row>
        <row r="4812">
          <cell r="A4812" t="str">
            <v>LFH8876</v>
          </cell>
          <cell r="B4812" t="str">
            <v>D</v>
          </cell>
          <cell r="C4812">
            <v>40.32</v>
          </cell>
        </row>
        <row r="4813">
          <cell r="A4813" t="str">
            <v>LH8877</v>
          </cell>
          <cell r="B4813" t="str">
            <v>D</v>
          </cell>
          <cell r="C4813">
            <v>20.79</v>
          </cell>
        </row>
        <row r="4814">
          <cell r="A4814" t="str">
            <v>LAF8878</v>
          </cell>
          <cell r="B4814" t="str">
            <v>N</v>
          </cell>
          <cell r="C4814">
            <v>119.06</v>
          </cell>
        </row>
        <row r="4815">
          <cell r="A4815" t="str">
            <v>LFH8880G</v>
          </cell>
          <cell r="B4815" t="str">
            <v>D</v>
          </cell>
          <cell r="C4815">
            <v>73.64</v>
          </cell>
        </row>
        <row r="4816">
          <cell r="A4816" t="str">
            <v>LFH8882</v>
          </cell>
          <cell r="B4816" t="str">
            <v>D</v>
          </cell>
          <cell r="C4816">
            <v>13.49</v>
          </cell>
        </row>
        <row r="4817">
          <cell r="A4817" t="str">
            <v>LH8883</v>
          </cell>
          <cell r="B4817" t="str">
            <v>D</v>
          </cell>
          <cell r="C4817">
            <v>7.87</v>
          </cell>
        </row>
        <row r="4818">
          <cell r="A4818" t="str">
            <v>LAF8889</v>
          </cell>
          <cell r="B4818" t="str">
            <v>N</v>
          </cell>
          <cell r="C4818">
            <v>117.97</v>
          </cell>
        </row>
        <row r="4819">
          <cell r="A4819" t="str">
            <v>L8891F</v>
          </cell>
          <cell r="B4819" t="str">
            <v>N</v>
          </cell>
          <cell r="C4819">
            <v>31.23</v>
          </cell>
        </row>
        <row r="4820">
          <cell r="A4820" t="str">
            <v>L8892F</v>
          </cell>
          <cell r="B4820" t="str">
            <v>N</v>
          </cell>
          <cell r="C4820">
            <v>25.48</v>
          </cell>
        </row>
        <row r="4821">
          <cell r="A4821" t="str">
            <v>L8893F</v>
          </cell>
          <cell r="B4821" t="str">
            <v>N</v>
          </cell>
          <cell r="C4821">
            <v>31.89</v>
          </cell>
        </row>
        <row r="4822">
          <cell r="A4822" t="str">
            <v>AF8900</v>
          </cell>
          <cell r="B4822" t="str">
            <v>D</v>
          </cell>
          <cell r="C4822">
            <v>28.47</v>
          </cell>
        </row>
        <row r="4823">
          <cell r="A4823" t="str">
            <v>AF8902</v>
          </cell>
          <cell r="B4823" t="str">
            <v>D</v>
          </cell>
          <cell r="C4823">
            <v>16.21</v>
          </cell>
        </row>
        <row r="4824">
          <cell r="A4824" t="str">
            <v>AF8903</v>
          </cell>
          <cell r="B4824" t="str">
            <v>D</v>
          </cell>
          <cell r="C4824">
            <v>10.91</v>
          </cell>
        </row>
        <row r="4825">
          <cell r="A4825" t="str">
            <v>PH8904</v>
          </cell>
          <cell r="B4825" t="str">
            <v>D</v>
          </cell>
          <cell r="C4825">
            <v>8.07</v>
          </cell>
        </row>
        <row r="4826">
          <cell r="A4826" t="str">
            <v>AF8906</v>
          </cell>
          <cell r="B4826" t="str">
            <v>D</v>
          </cell>
          <cell r="C4826">
            <v>19.079999999999998</v>
          </cell>
        </row>
        <row r="4827">
          <cell r="A4827" t="str">
            <v>LP8912</v>
          </cell>
          <cell r="B4827" t="str">
            <v>D</v>
          </cell>
          <cell r="C4827">
            <v>8.73</v>
          </cell>
        </row>
        <row r="4828">
          <cell r="A4828" t="str">
            <v>AF8913</v>
          </cell>
          <cell r="B4828" t="str">
            <v>D</v>
          </cell>
          <cell r="C4828">
            <v>8.2899999999999991</v>
          </cell>
        </row>
        <row r="4829">
          <cell r="A4829" t="str">
            <v>AF8914</v>
          </cell>
          <cell r="B4829" t="str">
            <v>D</v>
          </cell>
          <cell r="C4829">
            <v>11.24</v>
          </cell>
        </row>
        <row r="4830">
          <cell r="A4830" t="str">
            <v>AF8916</v>
          </cell>
          <cell r="B4830" t="str">
            <v>D</v>
          </cell>
          <cell r="C4830">
            <v>12.09</v>
          </cell>
        </row>
        <row r="4831">
          <cell r="A4831" t="str">
            <v>AF8917</v>
          </cell>
          <cell r="B4831" t="str">
            <v>D</v>
          </cell>
          <cell r="C4831">
            <v>13.25</v>
          </cell>
        </row>
        <row r="4832">
          <cell r="A4832" t="str">
            <v>AF8918</v>
          </cell>
          <cell r="B4832" t="str">
            <v>D</v>
          </cell>
          <cell r="C4832">
            <v>13.39</v>
          </cell>
        </row>
        <row r="4833">
          <cell r="A4833" t="str">
            <v>LAF8919</v>
          </cell>
          <cell r="B4833" t="str">
            <v>D</v>
          </cell>
          <cell r="C4833">
            <v>64.760000000000005</v>
          </cell>
        </row>
        <row r="4834">
          <cell r="A4834" t="str">
            <v>LAF8920</v>
          </cell>
          <cell r="B4834" t="str">
            <v>D</v>
          </cell>
          <cell r="C4834">
            <v>78.790000000000006</v>
          </cell>
        </row>
        <row r="4835">
          <cell r="A4835" t="str">
            <v>LAF8921</v>
          </cell>
          <cell r="B4835" t="str">
            <v>D</v>
          </cell>
          <cell r="C4835">
            <v>36.619999999999997</v>
          </cell>
        </row>
        <row r="4836">
          <cell r="A4836" t="str">
            <v>P8923</v>
          </cell>
          <cell r="B4836" t="str">
            <v>D</v>
          </cell>
          <cell r="C4836">
            <v>8.5299999999999994</v>
          </cell>
        </row>
        <row r="4837">
          <cell r="A4837" t="str">
            <v>L8924F</v>
          </cell>
          <cell r="B4837" t="str">
            <v>D</v>
          </cell>
          <cell r="C4837">
            <v>7.53</v>
          </cell>
        </row>
        <row r="4838">
          <cell r="A4838" t="str">
            <v>LFP8925</v>
          </cell>
          <cell r="B4838" t="str">
            <v>D</v>
          </cell>
          <cell r="C4838">
            <v>27.33</v>
          </cell>
        </row>
        <row r="4839">
          <cell r="A4839" t="str">
            <v>LFF8927</v>
          </cell>
          <cell r="B4839" t="str">
            <v>D</v>
          </cell>
          <cell r="C4839">
            <v>32</v>
          </cell>
        </row>
        <row r="4840">
          <cell r="A4840" t="str">
            <v>LFF8932</v>
          </cell>
          <cell r="B4840" t="str">
            <v>A</v>
          </cell>
          <cell r="C4840">
            <v>13.59</v>
          </cell>
        </row>
        <row r="4841">
          <cell r="A4841" t="str">
            <v>LFF8933</v>
          </cell>
          <cell r="B4841" t="str">
            <v>A</v>
          </cell>
          <cell r="C4841">
            <v>11.87</v>
          </cell>
        </row>
        <row r="4842">
          <cell r="A4842" t="str">
            <v>AF8934</v>
          </cell>
          <cell r="B4842" t="str">
            <v>D</v>
          </cell>
          <cell r="C4842">
            <v>16.809999999999999</v>
          </cell>
        </row>
        <row r="4843">
          <cell r="A4843" t="str">
            <v>PH8935</v>
          </cell>
          <cell r="B4843" t="str">
            <v>C</v>
          </cell>
          <cell r="C4843">
            <v>14.59</v>
          </cell>
        </row>
        <row r="4844">
          <cell r="A4844" t="str">
            <v>AF8936</v>
          </cell>
          <cell r="B4844" t="str">
            <v>D</v>
          </cell>
          <cell r="C4844">
            <v>14.15</v>
          </cell>
        </row>
        <row r="4845">
          <cell r="A4845" t="str">
            <v>AF8937</v>
          </cell>
          <cell r="B4845" t="str">
            <v>D</v>
          </cell>
          <cell r="C4845">
            <v>8.49</v>
          </cell>
        </row>
        <row r="4846">
          <cell r="A4846" t="str">
            <v>LFP8938</v>
          </cell>
          <cell r="B4846" t="str">
            <v>D</v>
          </cell>
          <cell r="C4846">
            <v>13.95</v>
          </cell>
        </row>
        <row r="4847">
          <cell r="A4847" t="str">
            <v>LFP8939</v>
          </cell>
          <cell r="B4847" t="str">
            <v>D</v>
          </cell>
          <cell r="C4847">
            <v>8.6999999999999993</v>
          </cell>
        </row>
        <row r="4848">
          <cell r="A4848" t="str">
            <v>AF8940</v>
          </cell>
          <cell r="B4848" t="str">
            <v>D</v>
          </cell>
          <cell r="C4848">
            <v>13.25</v>
          </cell>
        </row>
        <row r="4849">
          <cell r="A4849" t="str">
            <v>LP8941</v>
          </cell>
          <cell r="B4849" t="str">
            <v>D</v>
          </cell>
          <cell r="C4849">
            <v>11.91</v>
          </cell>
        </row>
        <row r="4850">
          <cell r="A4850" t="str">
            <v>AF8942</v>
          </cell>
          <cell r="B4850" t="str">
            <v>D</v>
          </cell>
          <cell r="C4850">
            <v>9.7799999999999994</v>
          </cell>
        </row>
        <row r="4851">
          <cell r="A4851" t="str">
            <v>AF8945</v>
          </cell>
          <cell r="B4851" t="str">
            <v>D</v>
          </cell>
          <cell r="C4851">
            <v>14.86</v>
          </cell>
        </row>
        <row r="4852">
          <cell r="A4852" t="str">
            <v>AF8947</v>
          </cell>
          <cell r="B4852" t="str">
            <v>D</v>
          </cell>
          <cell r="C4852">
            <v>16.100000000000001</v>
          </cell>
        </row>
        <row r="4853">
          <cell r="A4853" t="str">
            <v>AF8949</v>
          </cell>
          <cell r="B4853" t="str">
            <v>D</v>
          </cell>
          <cell r="C4853">
            <v>15.92</v>
          </cell>
        </row>
        <row r="4854">
          <cell r="A4854" t="str">
            <v>LP8952</v>
          </cell>
          <cell r="B4854" t="str">
            <v>D</v>
          </cell>
          <cell r="C4854">
            <v>9.64</v>
          </cell>
        </row>
        <row r="4855">
          <cell r="A4855" t="str">
            <v>LAF8954</v>
          </cell>
          <cell r="B4855" t="str">
            <v>D</v>
          </cell>
          <cell r="C4855">
            <v>91.97</v>
          </cell>
        </row>
        <row r="4856">
          <cell r="A4856" t="str">
            <v>LAF8955</v>
          </cell>
          <cell r="B4856" t="str">
            <v>D</v>
          </cell>
          <cell r="C4856">
            <v>59.76</v>
          </cell>
        </row>
        <row r="4857">
          <cell r="A4857" t="str">
            <v>AF8956</v>
          </cell>
          <cell r="B4857" t="str">
            <v>D</v>
          </cell>
          <cell r="C4857">
            <v>7.07</v>
          </cell>
        </row>
        <row r="4858">
          <cell r="A4858" t="str">
            <v>LFF8957</v>
          </cell>
          <cell r="B4858" t="str">
            <v>B</v>
          </cell>
          <cell r="C4858">
            <v>24.47</v>
          </cell>
        </row>
        <row r="4859">
          <cell r="A4859" t="str">
            <v>LAF8959</v>
          </cell>
          <cell r="B4859" t="str">
            <v>D</v>
          </cell>
          <cell r="C4859">
            <v>94.34</v>
          </cell>
        </row>
        <row r="4860">
          <cell r="A4860" t="str">
            <v>LAF8960</v>
          </cell>
          <cell r="B4860" t="str">
            <v>D</v>
          </cell>
          <cell r="C4860">
            <v>22.14</v>
          </cell>
        </row>
        <row r="4861">
          <cell r="A4861" t="str">
            <v>LFF8963</v>
          </cell>
          <cell r="B4861" t="str">
            <v>D</v>
          </cell>
          <cell r="C4861">
            <v>18.899999999999999</v>
          </cell>
        </row>
        <row r="4862">
          <cell r="A4862" t="str">
            <v>LFP8964</v>
          </cell>
          <cell r="B4862" t="str">
            <v>D</v>
          </cell>
          <cell r="C4862">
            <v>25.53</v>
          </cell>
        </row>
        <row r="4863">
          <cell r="A4863" t="str">
            <v>L8965F</v>
          </cell>
          <cell r="B4863" t="str">
            <v>D</v>
          </cell>
          <cell r="C4863">
            <v>40.54</v>
          </cell>
        </row>
        <row r="4864">
          <cell r="A4864" t="str">
            <v>L8966F</v>
          </cell>
          <cell r="B4864" t="str">
            <v>D</v>
          </cell>
          <cell r="C4864">
            <v>22.21</v>
          </cell>
        </row>
        <row r="4865">
          <cell r="A4865" t="str">
            <v>L8968F</v>
          </cell>
          <cell r="B4865" t="str">
            <v>N</v>
          </cell>
          <cell r="C4865">
            <v>20.420000000000002</v>
          </cell>
        </row>
        <row r="4866">
          <cell r="A4866" t="str">
            <v>LAF8969</v>
          </cell>
          <cell r="B4866" t="str">
            <v>D</v>
          </cell>
          <cell r="C4866">
            <v>95.02</v>
          </cell>
        </row>
        <row r="4867">
          <cell r="A4867" t="str">
            <v>LAF8970</v>
          </cell>
          <cell r="B4867" t="str">
            <v>D</v>
          </cell>
          <cell r="C4867">
            <v>132.32</v>
          </cell>
        </row>
        <row r="4868">
          <cell r="A4868" t="str">
            <v>LAF8971</v>
          </cell>
          <cell r="B4868" t="str">
            <v>D</v>
          </cell>
          <cell r="C4868">
            <v>92.04</v>
          </cell>
        </row>
        <row r="4869">
          <cell r="A4869" t="str">
            <v>LAF8972</v>
          </cell>
          <cell r="B4869" t="str">
            <v>D</v>
          </cell>
          <cell r="C4869">
            <v>42.28</v>
          </cell>
        </row>
        <row r="4870">
          <cell r="A4870" t="str">
            <v>LAF8973</v>
          </cell>
          <cell r="B4870" t="str">
            <v>D</v>
          </cell>
          <cell r="C4870">
            <v>56.1</v>
          </cell>
        </row>
        <row r="4871">
          <cell r="A4871" t="str">
            <v>LAF8975</v>
          </cell>
          <cell r="B4871" t="str">
            <v>D</v>
          </cell>
          <cell r="C4871">
            <v>86.35</v>
          </cell>
        </row>
        <row r="4872">
          <cell r="A4872" t="str">
            <v>LAF8976</v>
          </cell>
          <cell r="B4872" t="str">
            <v>D</v>
          </cell>
          <cell r="C4872">
            <v>207.23</v>
          </cell>
        </row>
        <row r="4873">
          <cell r="A4873" t="str">
            <v>LAF8977</v>
          </cell>
          <cell r="B4873" t="str">
            <v>D</v>
          </cell>
          <cell r="C4873">
            <v>110.81</v>
          </cell>
        </row>
        <row r="4874">
          <cell r="A4874" t="str">
            <v>LAF8978</v>
          </cell>
          <cell r="B4874" t="str">
            <v>D</v>
          </cell>
          <cell r="C4874">
            <v>94.35</v>
          </cell>
        </row>
        <row r="4875">
          <cell r="A4875" t="str">
            <v>LAF8979</v>
          </cell>
          <cell r="B4875" t="str">
            <v>D</v>
          </cell>
          <cell r="C4875">
            <v>210.63</v>
          </cell>
        </row>
        <row r="4876">
          <cell r="A4876" t="str">
            <v>LAF8980</v>
          </cell>
          <cell r="B4876" t="str">
            <v>D</v>
          </cell>
          <cell r="C4876">
            <v>70.010000000000005</v>
          </cell>
        </row>
        <row r="4877">
          <cell r="A4877" t="str">
            <v>LFF8981</v>
          </cell>
          <cell r="B4877" t="str">
            <v>D</v>
          </cell>
          <cell r="C4877">
            <v>27.72</v>
          </cell>
        </row>
        <row r="4878">
          <cell r="A4878" t="str">
            <v>LFP8982</v>
          </cell>
          <cell r="B4878" t="str">
            <v>D</v>
          </cell>
          <cell r="C4878">
            <v>96.88</v>
          </cell>
        </row>
        <row r="4879">
          <cell r="A4879" t="str">
            <v>LAF8983</v>
          </cell>
          <cell r="B4879" t="str">
            <v>D</v>
          </cell>
          <cell r="C4879">
            <v>57.32</v>
          </cell>
        </row>
        <row r="4880">
          <cell r="A4880" t="str">
            <v>LAF8984</v>
          </cell>
          <cell r="B4880" t="str">
            <v>D</v>
          </cell>
          <cell r="C4880">
            <v>29.85</v>
          </cell>
        </row>
        <row r="4881">
          <cell r="A4881" t="str">
            <v>LAF8985</v>
          </cell>
          <cell r="B4881" t="str">
            <v>D</v>
          </cell>
          <cell r="C4881">
            <v>70.13</v>
          </cell>
        </row>
        <row r="4882">
          <cell r="A4882" t="str">
            <v>LFP8986</v>
          </cell>
          <cell r="B4882" t="str">
            <v>D</v>
          </cell>
          <cell r="C4882">
            <v>8.42</v>
          </cell>
        </row>
        <row r="4883">
          <cell r="A4883" t="str">
            <v>LAF8987</v>
          </cell>
          <cell r="B4883" t="str">
            <v>D</v>
          </cell>
          <cell r="C4883">
            <v>21.32</v>
          </cell>
        </row>
        <row r="4884">
          <cell r="A4884" t="str">
            <v>LAF8988</v>
          </cell>
          <cell r="B4884" t="str">
            <v>D</v>
          </cell>
          <cell r="C4884">
            <v>47.34</v>
          </cell>
        </row>
        <row r="4885">
          <cell r="A4885" t="str">
            <v>LAF8989</v>
          </cell>
          <cell r="B4885" t="str">
            <v>D</v>
          </cell>
          <cell r="C4885">
            <v>131.96</v>
          </cell>
        </row>
        <row r="4886">
          <cell r="A4886" t="str">
            <v>LAF8990</v>
          </cell>
          <cell r="B4886" t="str">
            <v>D</v>
          </cell>
          <cell r="C4886">
            <v>35.46</v>
          </cell>
        </row>
        <row r="4887">
          <cell r="A4887" t="str">
            <v>LAF8991</v>
          </cell>
          <cell r="B4887" t="str">
            <v>D</v>
          </cell>
          <cell r="C4887">
            <v>153.13</v>
          </cell>
        </row>
        <row r="4888">
          <cell r="A4888" t="str">
            <v>LP8992</v>
          </cell>
          <cell r="B4888" t="str">
            <v>D</v>
          </cell>
          <cell r="C4888">
            <v>31.08</v>
          </cell>
        </row>
        <row r="4889">
          <cell r="A4889" t="str">
            <v>LP8993</v>
          </cell>
          <cell r="B4889" t="str">
            <v>D</v>
          </cell>
          <cell r="C4889">
            <v>32.6</v>
          </cell>
        </row>
        <row r="4890">
          <cell r="A4890" t="str">
            <v>L8994F</v>
          </cell>
          <cell r="B4890" t="str">
            <v>A</v>
          </cell>
          <cell r="C4890">
            <v>23.87</v>
          </cell>
        </row>
        <row r="4891">
          <cell r="A4891" t="str">
            <v>LP8995</v>
          </cell>
          <cell r="B4891" t="str">
            <v>D</v>
          </cell>
          <cell r="C4891">
            <v>43.13</v>
          </cell>
        </row>
        <row r="4892">
          <cell r="A4892" t="str">
            <v>LAF8996</v>
          </cell>
          <cell r="B4892" t="str">
            <v>D</v>
          </cell>
          <cell r="C4892">
            <v>39.619999999999997</v>
          </cell>
        </row>
        <row r="4893">
          <cell r="A4893" t="str">
            <v>LAF8997</v>
          </cell>
          <cell r="B4893" t="str">
            <v>D</v>
          </cell>
          <cell r="C4893">
            <v>160.54</v>
          </cell>
        </row>
        <row r="4894">
          <cell r="A4894" t="str">
            <v>LAF8998</v>
          </cell>
          <cell r="B4894" t="str">
            <v>D</v>
          </cell>
          <cell r="C4894">
            <v>75.66</v>
          </cell>
        </row>
        <row r="4895">
          <cell r="A4895" t="str">
            <v>LAF8999</v>
          </cell>
          <cell r="B4895" t="str">
            <v>D</v>
          </cell>
          <cell r="C4895">
            <v>28.81</v>
          </cell>
        </row>
        <row r="4896">
          <cell r="A4896" t="str">
            <v>LAF9000</v>
          </cell>
          <cell r="B4896" t="str">
            <v>C</v>
          </cell>
          <cell r="C4896">
            <v>62.38</v>
          </cell>
        </row>
        <row r="4897">
          <cell r="A4897" t="str">
            <v>LFP9000</v>
          </cell>
          <cell r="B4897" t="str">
            <v>A</v>
          </cell>
          <cell r="C4897">
            <v>61.72</v>
          </cell>
        </row>
        <row r="4898">
          <cell r="A4898" t="str">
            <v>LAF9001</v>
          </cell>
          <cell r="B4898" t="str">
            <v>B</v>
          </cell>
          <cell r="C4898">
            <v>45.04</v>
          </cell>
        </row>
        <row r="4899">
          <cell r="A4899" t="str">
            <v>LFP9001</v>
          </cell>
          <cell r="B4899" t="str">
            <v>A</v>
          </cell>
          <cell r="C4899">
            <v>46.22</v>
          </cell>
        </row>
        <row r="4900">
          <cell r="A4900" t="str">
            <v>LFP9001TRT</v>
          </cell>
          <cell r="B4900" t="str">
            <v>D</v>
          </cell>
          <cell r="C4900">
            <v>84.06</v>
          </cell>
        </row>
        <row r="4901">
          <cell r="A4901" t="str">
            <v>LFF9002</v>
          </cell>
          <cell r="B4901" t="str">
            <v>D</v>
          </cell>
          <cell r="C4901">
            <v>50.03</v>
          </cell>
        </row>
        <row r="4902">
          <cell r="A4902" t="str">
            <v>LFF9003</v>
          </cell>
          <cell r="B4902" t="str">
            <v>D</v>
          </cell>
          <cell r="C4902">
            <v>40.840000000000003</v>
          </cell>
        </row>
        <row r="4903">
          <cell r="A4903" t="str">
            <v>LFF9005</v>
          </cell>
          <cell r="B4903" t="str">
            <v>D</v>
          </cell>
          <cell r="C4903">
            <v>49.88</v>
          </cell>
        </row>
        <row r="4904">
          <cell r="A4904" t="str">
            <v>LFF9006</v>
          </cell>
          <cell r="B4904" t="str">
            <v>D</v>
          </cell>
          <cell r="C4904">
            <v>69.02</v>
          </cell>
        </row>
        <row r="4905">
          <cell r="A4905" t="str">
            <v>AF9007</v>
          </cell>
          <cell r="B4905" t="str">
            <v>D</v>
          </cell>
          <cell r="C4905">
            <v>18</v>
          </cell>
        </row>
        <row r="4906">
          <cell r="A4906" t="str">
            <v>AF9010</v>
          </cell>
          <cell r="B4906" t="str">
            <v>A</v>
          </cell>
          <cell r="C4906">
            <v>15.14</v>
          </cell>
        </row>
        <row r="4907">
          <cell r="A4907" t="str">
            <v>LFF9011</v>
          </cell>
          <cell r="B4907" t="str">
            <v>D</v>
          </cell>
          <cell r="C4907">
            <v>21.49</v>
          </cell>
        </row>
        <row r="4908">
          <cell r="A4908" t="str">
            <v>LFF9012</v>
          </cell>
          <cell r="B4908" t="str">
            <v>D</v>
          </cell>
          <cell r="C4908">
            <v>24.38</v>
          </cell>
        </row>
        <row r="4909">
          <cell r="A4909" t="str">
            <v>LFF9013</v>
          </cell>
          <cell r="B4909" t="str">
            <v>C</v>
          </cell>
          <cell r="C4909">
            <v>26.37</v>
          </cell>
        </row>
        <row r="4910">
          <cell r="A4910" t="str">
            <v>LFP9024</v>
          </cell>
          <cell r="B4910" t="str">
            <v>D</v>
          </cell>
          <cell r="C4910">
            <v>66.75</v>
          </cell>
        </row>
        <row r="4911">
          <cell r="A4911" t="str">
            <v>LFP9025</v>
          </cell>
          <cell r="B4911" t="str">
            <v>A</v>
          </cell>
          <cell r="C4911">
            <v>67.17</v>
          </cell>
        </row>
        <row r="4912">
          <cell r="A4912" t="str">
            <v>LFP9025XL</v>
          </cell>
          <cell r="B4912" t="str">
            <v>N</v>
          </cell>
          <cell r="C4912">
            <v>46.19</v>
          </cell>
        </row>
        <row r="4913">
          <cell r="A4913" t="str">
            <v>LAF9029</v>
          </cell>
          <cell r="B4913" t="str">
            <v>D</v>
          </cell>
          <cell r="C4913">
            <v>70.87</v>
          </cell>
        </row>
        <row r="4914">
          <cell r="A4914" t="str">
            <v>LFP9035</v>
          </cell>
          <cell r="B4914" t="str">
            <v>D</v>
          </cell>
          <cell r="C4914">
            <v>73.63</v>
          </cell>
        </row>
        <row r="4915">
          <cell r="A4915" t="str">
            <v>LH9039</v>
          </cell>
          <cell r="B4915" t="str">
            <v>N</v>
          </cell>
          <cell r="C4915">
            <v>359.16</v>
          </cell>
        </row>
        <row r="4916">
          <cell r="A4916" t="str">
            <v>LAF9085</v>
          </cell>
          <cell r="B4916" t="str">
            <v>D</v>
          </cell>
          <cell r="C4916">
            <v>38.57</v>
          </cell>
        </row>
        <row r="4917">
          <cell r="A4917" t="str">
            <v>LAF9086</v>
          </cell>
          <cell r="B4917" t="str">
            <v>B</v>
          </cell>
          <cell r="C4917">
            <v>59.37</v>
          </cell>
        </row>
        <row r="4918">
          <cell r="A4918" t="str">
            <v>LAF9086MXM</v>
          </cell>
          <cell r="B4918" t="str">
            <v>N</v>
          </cell>
          <cell r="C4918">
            <v>90</v>
          </cell>
        </row>
        <row r="4919">
          <cell r="A4919" t="str">
            <v>LAF9089</v>
          </cell>
          <cell r="B4919" t="str">
            <v>D</v>
          </cell>
          <cell r="C4919">
            <v>99.92</v>
          </cell>
        </row>
        <row r="4920">
          <cell r="A4920" t="str">
            <v>LAF9092</v>
          </cell>
          <cell r="B4920" t="str">
            <v>D</v>
          </cell>
          <cell r="C4920">
            <v>113.54</v>
          </cell>
        </row>
        <row r="4921">
          <cell r="A4921" t="str">
            <v>LAF9096</v>
          </cell>
          <cell r="B4921" t="str">
            <v>B</v>
          </cell>
          <cell r="C4921">
            <v>20.07</v>
          </cell>
        </row>
        <row r="4922">
          <cell r="A4922" t="str">
            <v>LAF9097MXM</v>
          </cell>
          <cell r="B4922" t="str">
            <v>N</v>
          </cell>
          <cell r="C4922">
            <v>50.75</v>
          </cell>
        </row>
        <row r="4923">
          <cell r="A4923" t="str">
            <v>AF9098</v>
          </cell>
          <cell r="B4923" t="str">
            <v>B</v>
          </cell>
          <cell r="C4923">
            <v>14.81</v>
          </cell>
        </row>
        <row r="4924">
          <cell r="A4924" t="str">
            <v>LAF9099</v>
          </cell>
          <cell r="B4924" t="str">
            <v>A</v>
          </cell>
          <cell r="C4924">
            <v>87.86</v>
          </cell>
        </row>
        <row r="4925">
          <cell r="A4925" t="str">
            <v>LAF9100</v>
          </cell>
          <cell r="B4925" t="str">
            <v>D</v>
          </cell>
          <cell r="C4925">
            <v>79.040000000000006</v>
          </cell>
        </row>
        <row r="4926">
          <cell r="A4926" t="str">
            <v>LAF9101</v>
          </cell>
          <cell r="B4926" t="str">
            <v>B</v>
          </cell>
          <cell r="C4926">
            <v>78.599999999999994</v>
          </cell>
        </row>
        <row r="4927">
          <cell r="A4927" t="str">
            <v>LAF9102</v>
          </cell>
          <cell r="B4927" t="str">
            <v>B</v>
          </cell>
          <cell r="C4927">
            <v>69.52</v>
          </cell>
        </row>
        <row r="4928">
          <cell r="A4928" t="str">
            <v>LAF9104</v>
          </cell>
          <cell r="B4928" t="str">
            <v>N</v>
          </cell>
          <cell r="C4928">
            <v>183.72</v>
          </cell>
        </row>
        <row r="4929">
          <cell r="A4929" t="str">
            <v>LAF9111</v>
          </cell>
          <cell r="B4929" t="str">
            <v>D</v>
          </cell>
          <cell r="C4929">
            <v>119.4</v>
          </cell>
        </row>
        <row r="4930">
          <cell r="A4930" t="str">
            <v>LAF9155</v>
          </cell>
          <cell r="B4930" t="str">
            <v>D</v>
          </cell>
          <cell r="C4930">
            <v>70.72</v>
          </cell>
        </row>
        <row r="4931">
          <cell r="A4931" t="str">
            <v>LAF9155MXM</v>
          </cell>
          <cell r="B4931" t="str">
            <v>N</v>
          </cell>
          <cell r="C4931">
            <v>105.66</v>
          </cell>
        </row>
        <row r="4932">
          <cell r="A4932" t="str">
            <v>LAF9159</v>
          </cell>
          <cell r="B4932" t="str">
            <v>D</v>
          </cell>
          <cell r="C4932">
            <v>49.81</v>
          </cell>
        </row>
        <row r="4933">
          <cell r="A4933" t="str">
            <v>LH9167</v>
          </cell>
          <cell r="B4933" t="str">
            <v>N</v>
          </cell>
          <cell r="C4933">
            <v>43.44</v>
          </cell>
        </row>
        <row r="4934">
          <cell r="A4934" t="str">
            <v>LAF9180</v>
          </cell>
          <cell r="B4934" t="str">
            <v>D</v>
          </cell>
          <cell r="C4934">
            <v>120.29</v>
          </cell>
        </row>
        <row r="4935">
          <cell r="A4935" t="str">
            <v>LFP9182</v>
          </cell>
          <cell r="B4935" t="str">
            <v>B</v>
          </cell>
          <cell r="C4935">
            <v>19.5</v>
          </cell>
        </row>
        <row r="4936">
          <cell r="A4936" t="str">
            <v>LH9187</v>
          </cell>
          <cell r="B4936" t="str">
            <v>N</v>
          </cell>
          <cell r="C4936">
            <v>40.369999999999997</v>
          </cell>
        </row>
        <row r="4937">
          <cell r="A4937" t="str">
            <v>LH9191</v>
          </cell>
          <cell r="B4937" t="str">
            <v>N</v>
          </cell>
          <cell r="C4937">
            <v>93.1</v>
          </cell>
        </row>
        <row r="4938">
          <cell r="A4938" t="str">
            <v>LAF9200</v>
          </cell>
          <cell r="B4938" t="str">
            <v>D</v>
          </cell>
          <cell r="C4938">
            <v>66.89</v>
          </cell>
        </row>
        <row r="4939">
          <cell r="A4939" t="str">
            <v>LAF9201</v>
          </cell>
          <cell r="B4939" t="str">
            <v>A</v>
          </cell>
          <cell r="C4939">
            <v>77.95</v>
          </cell>
        </row>
        <row r="4940">
          <cell r="A4940" t="str">
            <v>LAF9202</v>
          </cell>
          <cell r="B4940" t="str">
            <v>D</v>
          </cell>
          <cell r="C4940">
            <v>168.9</v>
          </cell>
        </row>
        <row r="4941">
          <cell r="A4941" t="str">
            <v>LAF9237</v>
          </cell>
          <cell r="B4941" t="str">
            <v>D</v>
          </cell>
          <cell r="C4941">
            <v>149</v>
          </cell>
        </row>
        <row r="4942">
          <cell r="A4942" t="str">
            <v>LH9240V</v>
          </cell>
          <cell r="B4942" t="str">
            <v>N</v>
          </cell>
          <cell r="C4942">
            <v>26.09</v>
          </cell>
        </row>
        <row r="4943">
          <cell r="A4943" t="str">
            <v>LH9264V</v>
          </cell>
          <cell r="B4943" t="str">
            <v>N</v>
          </cell>
          <cell r="C4943">
            <v>33.75</v>
          </cell>
        </row>
        <row r="4944">
          <cell r="A4944" t="str">
            <v>LH9267</v>
          </cell>
          <cell r="B4944" t="str">
            <v>N</v>
          </cell>
          <cell r="C4944">
            <v>43.48</v>
          </cell>
        </row>
        <row r="4945">
          <cell r="A4945" t="str">
            <v>LAF9297</v>
          </cell>
          <cell r="B4945" t="str">
            <v>D</v>
          </cell>
          <cell r="C4945">
            <v>174.22</v>
          </cell>
        </row>
        <row r="4946">
          <cell r="A4946" t="str">
            <v>LH9304V</v>
          </cell>
          <cell r="B4946" t="str">
            <v>N</v>
          </cell>
          <cell r="C4946">
            <v>74.95</v>
          </cell>
        </row>
        <row r="4947">
          <cell r="A4947" t="str">
            <v>LH9309V</v>
          </cell>
          <cell r="B4947" t="str">
            <v>N</v>
          </cell>
          <cell r="C4947">
            <v>67.28</v>
          </cell>
        </row>
        <row r="4948">
          <cell r="A4948" t="str">
            <v>LH9310V</v>
          </cell>
          <cell r="B4948" t="str">
            <v>N</v>
          </cell>
          <cell r="C4948">
            <v>46.55</v>
          </cell>
        </row>
        <row r="4949">
          <cell r="A4949" t="str">
            <v>LAF9332</v>
          </cell>
          <cell r="B4949" t="str">
            <v>B</v>
          </cell>
          <cell r="C4949">
            <v>26.61</v>
          </cell>
        </row>
        <row r="4950">
          <cell r="A4950" t="str">
            <v>LAF9334</v>
          </cell>
          <cell r="B4950" t="str">
            <v>N</v>
          </cell>
          <cell r="C4950">
            <v>112.7</v>
          </cell>
        </row>
        <row r="4951">
          <cell r="A4951" t="str">
            <v>LFF9342</v>
          </cell>
          <cell r="B4951" t="str">
            <v>B</v>
          </cell>
          <cell r="C4951">
            <v>21.65</v>
          </cell>
        </row>
        <row r="4952">
          <cell r="A4952" t="str">
            <v>LFF9342SC</v>
          </cell>
          <cell r="B4952" t="str">
            <v>C</v>
          </cell>
          <cell r="C4952">
            <v>23.98</v>
          </cell>
        </row>
        <row r="4953">
          <cell r="A4953" t="str">
            <v>LFH9347</v>
          </cell>
          <cell r="B4953" t="str">
            <v>D</v>
          </cell>
          <cell r="C4953">
            <v>103.28</v>
          </cell>
        </row>
        <row r="4954">
          <cell r="A4954" t="str">
            <v>LH9351</v>
          </cell>
          <cell r="B4954" t="str">
            <v>N</v>
          </cell>
          <cell r="C4954">
            <v>65.290000000000006</v>
          </cell>
        </row>
        <row r="4955">
          <cell r="A4955" t="str">
            <v>LFH9353</v>
          </cell>
          <cell r="B4955" t="str">
            <v>D</v>
          </cell>
          <cell r="C4955">
            <v>96.17</v>
          </cell>
        </row>
        <row r="4956">
          <cell r="A4956" t="str">
            <v>LH9359V</v>
          </cell>
          <cell r="B4956" t="str">
            <v>N</v>
          </cell>
          <cell r="C4956">
            <v>164.35</v>
          </cell>
        </row>
        <row r="4957">
          <cell r="A4957" t="str">
            <v>LFH9367</v>
          </cell>
          <cell r="B4957" t="str">
            <v>N</v>
          </cell>
          <cell r="C4957">
            <v>103.14</v>
          </cell>
        </row>
        <row r="4958">
          <cell r="A4958" t="str">
            <v>LAF9373</v>
          </cell>
          <cell r="B4958" t="str">
            <v>D</v>
          </cell>
          <cell r="C4958">
            <v>38.47</v>
          </cell>
        </row>
        <row r="4959">
          <cell r="A4959" t="str">
            <v>LFE9374</v>
          </cell>
          <cell r="B4959" t="str">
            <v>D</v>
          </cell>
          <cell r="C4959">
            <v>87.35</v>
          </cell>
        </row>
        <row r="4960">
          <cell r="A4960" t="str">
            <v>LAF9387</v>
          </cell>
          <cell r="B4960" t="str">
            <v>D</v>
          </cell>
          <cell r="C4960">
            <v>73.34</v>
          </cell>
        </row>
        <row r="4961">
          <cell r="A4961" t="str">
            <v>LH9390V</v>
          </cell>
          <cell r="B4961" t="str">
            <v>N</v>
          </cell>
          <cell r="C4961">
            <v>179.07</v>
          </cell>
        </row>
        <row r="4962">
          <cell r="A4962" t="str">
            <v>LFH9393</v>
          </cell>
          <cell r="B4962" t="str">
            <v>N</v>
          </cell>
          <cell r="C4962">
            <v>81.5</v>
          </cell>
        </row>
        <row r="4963">
          <cell r="A4963" t="str">
            <v>LH9394</v>
          </cell>
          <cell r="B4963" t="str">
            <v>N</v>
          </cell>
          <cell r="C4963">
            <v>26.51</v>
          </cell>
        </row>
        <row r="4964">
          <cell r="A4964" t="str">
            <v>LAF9396</v>
          </cell>
          <cell r="B4964" t="str">
            <v>B</v>
          </cell>
          <cell r="C4964">
            <v>87.26</v>
          </cell>
        </row>
        <row r="4965">
          <cell r="A4965" t="str">
            <v>LH9400</v>
          </cell>
          <cell r="B4965" t="str">
            <v>D</v>
          </cell>
          <cell r="C4965">
            <v>88.5</v>
          </cell>
        </row>
        <row r="4966">
          <cell r="A4966" t="str">
            <v>LH9401</v>
          </cell>
          <cell r="B4966" t="str">
            <v>N</v>
          </cell>
          <cell r="C4966">
            <v>121.28</v>
          </cell>
        </row>
        <row r="4967">
          <cell r="A4967" t="str">
            <v>LH9403V</v>
          </cell>
          <cell r="B4967" t="str">
            <v>N</v>
          </cell>
          <cell r="C4967">
            <v>263.25</v>
          </cell>
        </row>
        <row r="4968">
          <cell r="A4968" t="str">
            <v>LH9406V</v>
          </cell>
          <cell r="B4968" t="str">
            <v>N</v>
          </cell>
          <cell r="C4968">
            <v>132.97999999999999</v>
          </cell>
        </row>
        <row r="4969">
          <cell r="A4969" t="str">
            <v>LH9407</v>
          </cell>
          <cell r="B4969" t="str">
            <v>N</v>
          </cell>
          <cell r="C4969">
            <v>102.39</v>
          </cell>
        </row>
        <row r="4970">
          <cell r="A4970" t="str">
            <v>LAF9410</v>
          </cell>
          <cell r="B4970" t="str">
            <v>B</v>
          </cell>
          <cell r="C4970">
            <v>27.58</v>
          </cell>
        </row>
        <row r="4971">
          <cell r="A4971" t="str">
            <v>LH9411</v>
          </cell>
          <cell r="B4971" t="str">
            <v>D</v>
          </cell>
          <cell r="C4971">
            <v>106.61</v>
          </cell>
        </row>
        <row r="4972">
          <cell r="A4972" t="str">
            <v>LH9412</v>
          </cell>
          <cell r="B4972" t="str">
            <v>D</v>
          </cell>
          <cell r="C4972">
            <v>110.69</v>
          </cell>
        </row>
        <row r="4973">
          <cell r="A4973" t="str">
            <v>LH9413</v>
          </cell>
          <cell r="B4973" t="str">
            <v>D</v>
          </cell>
          <cell r="C4973">
            <v>183.95</v>
          </cell>
        </row>
        <row r="4974">
          <cell r="A4974" t="str">
            <v>LAF9462</v>
          </cell>
          <cell r="B4974" t="str">
            <v>D</v>
          </cell>
          <cell r="C4974">
            <v>106.48</v>
          </cell>
        </row>
        <row r="4975">
          <cell r="A4975" t="str">
            <v>LAF9472</v>
          </cell>
          <cell r="B4975" t="str">
            <v>C</v>
          </cell>
          <cell r="C4975">
            <v>76.989999999999995</v>
          </cell>
        </row>
        <row r="4976">
          <cell r="A4976" t="str">
            <v>LAF9498</v>
          </cell>
          <cell r="B4976" t="str">
            <v>N</v>
          </cell>
          <cell r="C4976">
            <v>223.09</v>
          </cell>
        </row>
        <row r="4977">
          <cell r="A4977" t="str">
            <v>LFH9499</v>
          </cell>
          <cell r="B4977" t="str">
            <v>D</v>
          </cell>
          <cell r="C4977">
            <v>81.48</v>
          </cell>
        </row>
        <row r="4978">
          <cell r="A4978" t="str">
            <v>LAF9500</v>
          </cell>
          <cell r="B4978" t="str">
            <v>D</v>
          </cell>
          <cell r="C4978">
            <v>71.56</v>
          </cell>
        </row>
        <row r="4979">
          <cell r="A4979" t="str">
            <v>LAF9501</v>
          </cell>
          <cell r="B4979" t="str">
            <v>D</v>
          </cell>
          <cell r="C4979">
            <v>71.47</v>
          </cell>
        </row>
        <row r="4980">
          <cell r="A4980" t="str">
            <v>LAF9513</v>
          </cell>
          <cell r="B4980" t="str">
            <v>D</v>
          </cell>
          <cell r="C4980">
            <v>57.29</v>
          </cell>
        </row>
        <row r="4981">
          <cell r="A4981" t="str">
            <v>LFF9519</v>
          </cell>
          <cell r="B4981" t="str">
            <v>C</v>
          </cell>
          <cell r="C4981">
            <v>39.99</v>
          </cell>
        </row>
        <row r="4982">
          <cell r="A4982" t="str">
            <v>LAF9532</v>
          </cell>
          <cell r="B4982" t="str">
            <v>D</v>
          </cell>
          <cell r="C4982">
            <v>102.12</v>
          </cell>
        </row>
        <row r="4983">
          <cell r="A4983" t="str">
            <v>LAF9538</v>
          </cell>
          <cell r="B4983" t="str">
            <v>A</v>
          </cell>
          <cell r="C4983">
            <v>32.97</v>
          </cell>
        </row>
        <row r="4984">
          <cell r="A4984" t="str">
            <v>LAF9538MXM</v>
          </cell>
          <cell r="B4984" t="str">
            <v>N</v>
          </cell>
          <cell r="C4984">
            <v>39.56</v>
          </cell>
        </row>
        <row r="4985">
          <cell r="A4985" t="str">
            <v>LAF9540</v>
          </cell>
          <cell r="B4985" t="str">
            <v>B</v>
          </cell>
          <cell r="C4985">
            <v>112.71</v>
          </cell>
        </row>
        <row r="4986">
          <cell r="A4986" t="str">
            <v>LAF9541</v>
          </cell>
          <cell r="B4986" t="str">
            <v>D</v>
          </cell>
          <cell r="C4986">
            <v>138.46</v>
          </cell>
        </row>
        <row r="4987">
          <cell r="A4987" t="str">
            <v>LAF9542</v>
          </cell>
          <cell r="B4987" t="str">
            <v>D</v>
          </cell>
          <cell r="C4987">
            <v>80.06</v>
          </cell>
        </row>
        <row r="4988">
          <cell r="A4988" t="str">
            <v>LAF9543</v>
          </cell>
          <cell r="B4988" t="str">
            <v>B</v>
          </cell>
          <cell r="C4988">
            <v>67.430000000000007</v>
          </cell>
        </row>
        <row r="4989">
          <cell r="A4989" t="str">
            <v>LAF9544</v>
          </cell>
          <cell r="B4989" t="str">
            <v>B</v>
          </cell>
          <cell r="C4989">
            <v>65.17</v>
          </cell>
        </row>
        <row r="4990">
          <cell r="A4990" t="str">
            <v>LAF9545</v>
          </cell>
          <cell r="B4990" t="str">
            <v>A</v>
          </cell>
          <cell r="C4990">
            <v>48.59</v>
          </cell>
        </row>
        <row r="4991">
          <cell r="A4991" t="str">
            <v>AF9546</v>
          </cell>
          <cell r="B4991" t="str">
            <v>D</v>
          </cell>
          <cell r="C4991">
            <v>25.17</v>
          </cell>
        </row>
        <row r="4992">
          <cell r="A4992" t="str">
            <v>LAF9547</v>
          </cell>
          <cell r="B4992" t="str">
            <v>A</v>
          </cell>
          <cell r="C4992">
            <v>48.92</v>
          </cell>
        </row>
        <row r="4993">
          <cell r="A4993" t="str">
            <v>LAF9548</v>
          </cell>
          <cell r="B4993" t="str">
            <v>D</v>
          </cell>
          <cell r="C4993">
            <v>28.94</v>
          </cell>
        </row>
        <row r="4994">
          <cell r="A4994" t="str">
            <v>L9550FXL</v>
          </cell>
          <cell r="B4994" t="str">
            <v>N</v>
          </cell>
          <cell r="C4994">
            <v>18.13</v>
          </cell>
        </row>
        <row r="4995">
          <cell r="A4995" t="str">
            <v>LH9558</v>
          </cell>
          <cell r="B4995" t="str">
            <v>N</v>
          </cell>
          <cell r="C4995">
            <v>108.17</v>
          </cell>
        </row>
        <row r="4996">
          <cell r="A4996" t="str">
            <v>L9559F</v>
          </cell>
          <cell r="B4996" t="str">
            <v>D</v>
          </cell>
          <cell r="C4996">
            <v>75.8</v>
          </cell>
        </row>
        <row r="4997">
          <cell r="A4997" t="str">
            <v>LFF9594</v>
          </cell>
          <cell r="B4997" t="str">
            <v>D</v>
          </cell>
          <cell r="C4997">
            <v>15.82</v>
          </cell>
        </row>
        <row r="4998">
          <cell r="A4998" t="str">
            <v>LFF9608</v>
          </cell>
          <cell r="B4998" t="str">
            <v>D</v>
          </cell>
          <cell r="C4998">
            <v>21.74</v>
          </cell>
        </row>
        <row r="4999">
          <cell r="A4999" t="str">
            <v>LFF9616</v>
          </cell>
          <cell r="B4999" t="str">
            <v>C</v>
          </cell>
          <cell r="C4999">
            <v>46.91</v>
          </cell>
        </row>
        <row r="5000">
          <cell r="A5000" t="str">
            <v>LAF9657</v>
          </cell>
          <cell r="B5000" t="str">
            <v>D</v>
          </cell>
          <cell r="C5000">
            <v>46.98</v>
          </cell>
        </row>
        <row r="5001">
          <cell r="A5001" t="str">
            <v>LH9681V</v>
          </cell>
          <cell r="B5001" t="str">
            <v>N</v>
          </cell>
          <cell r="C5001">
            <v>74.98</v>
          </cell>
        </row>
        <row r="5002">
          <cell r="A5002" t="str">
            <v>L9684F</v>
          </cell>
          <cell r="B5002" t="str">
            <v>B</v>
          </cell>
          <cell r="C5002">
            <v>18.559999999999999</v>
          </cell>
        </row>
        <row r="5003">
          <cell r="A5003" t="str">
            <v>LAF9685</v>
          </cell>
          <cell r="B5003" t="str">
            <v>D</v>
          </cell>
          <cell r="C5003">
            <v>94.11</v>
          </cell>
        </row>
        <row r="5004">
          <cell r="A5004" t="str">
            <v>L9721F</v>
          </cell>
          <cell r="B5004" t="str">
            <v>D</v>
          </cell>
          <cell r="C5004">
            <v>19.829999999999998</v>
          </cell>
        </row>
        <row r="5005">
          <cell r="A5005" t="str">
            <v>L9721FXL</v>
          </cell>
          <cell r="B5005" t="str">
            <v>D</v>
          </cell>
          <cell r="C5005">
            <v>31.05</v>
          </cell>
        </row>
        <row r="5006">
          <cell r="A5006" t="str">
            <v>DCF9723</v>
          </cell>
          <cell r="B5006" t="str">
            <v>N</v>
          </cell>
          <cell r="C5006">
            <v>170.35</v>
          </cell>
        </row>
        <row r="5007">
          <cell r="A5007" t="str">
            <v>LAF9726</v>
          </cell>
          <cell r="B5007" t="str">
            <v>D</v>
          </cell>
          <cell r="C5007">
            <v>72.510000000000005</v>
          </cell>
        </row>
        <row r="5008">
          <cell r="A5008" t="str">
            <v>L9729F</v>
          </cell>
          <cell r="B5008" t="str">
            <v>A</v>
          </cell>
          <cell r="C5008">
            <v>17.670000000000002</v>
          </cell>
        </row>
        <row r="5009">
          <cell r="A5009" t="str">
            <v>L9729FXL</v>
          </cell>
          <cell r="B5009" t="str">
            <v>C</v>
          </cell>
          <cell r="C5009">
            <v>30.22</v>
          </cell>
        </row>
        <row r="5010">
          <cell r="A5010" t="str">
            <v>L9730F</v>
          </cell>
          <cell r="B5010" t="str">
            <v>N</v>
          </cell>
          <cell r="C5010">
            <v>14.83</v>
          </cell>
        </row>
        <row r="5011">
          <cell r="A5011" t="str">
            <v>LFF9732</v>
          </cell>
          <cell r="B5011" t="str">
            <v>B</v>
          </cell>
          <cell r="C5011">
            <v>44.82</v>
          </cell>
        </row>
        <row r="5012">
          <cell r="A5012" t="str">
            <v>LFF9737</v>
          </cell>
          <cell r="B5012" t="str">
            <v>N</v>
          </cell>
          <cell r="C5012">
            <v>56.37</v>
          </cell>
        </row>
        <row r="5013">
          <cell r="A5013" t="str">
            <v>LFF9737U</v>
          </cell>
          <cell r="B5013" t="str">
            <v>D</v>
          </cell>
          <cell r="C5013">
            <v>58.06</v>
          </cell>
        </row>
        <row r="5014">
          <cell r="A5014" t="str">
            <v>LFP9750</v>
          </cell>
          <cell r="B5014" t="str">
            <v>D</v>
          </cell>
          <cell r="C5014">
            <v>113.47</v>
          </cell>
        </row>
        <row r="5015">
          <cell r="A5015" t="str">
            <v>ZKIT9750</v>
          </cell>
          <cell r="B5015" t="str">
            <v>D</v>
          </cell>
          <cell r="C5015">
            <v>163.96</v>
          </cell>
        </row>
        <row r="5016">
          <cell r="A5016" t="str">
            <v>LFF9753</v>
          </cell>
          <cell r="B5016" t="str">
            <v>N</v>
          </cell>
          <cell r="C5016">
            <v>42.01</v>
          </cell>
        </row>
        <row r="5017">
          <cell r="A5017" t="str">
            <v>L9763FXL</v>
          </cell>
          <cell r="B5017" t="str">
            <v>C</v>
          </cell>
          <cell r="C5017">
            <v>21.05</v>
          </cell>
        </row>
        <row r="5018">
          <cell r="A5018" t="str">
            <v>L9765FXL</v>
          </cell>
          <cell r="B5018" t="str">
            <v>N</v>
          </cell>
          <cell r="C5018">
            <v>21.94</v>
          </cell>
        </row>
        <row r="5019">
          <cell r="A5019" t="str">
            <v>LFF9769</v>
          </cell>
          <cell r="B5019" t="str">
            <v>D</v>
          </cell>
          <cell r="C5019">
            <v>75.680000000000007</v>
          </cell>
        </row>
        <row r="5020">
          <cell r="A5020" t="str">
            <v>LFF9772</v>
          </cell>
          <cell r="B5020" t="str">
            <v>N</v>
          </cell>
          <cell r="C5020">
            <v>16.7</v>
          </cell>
        </row>
        <row r="5021">
          <cell r="A5021" t="str">
            <v>L9800F</v>
          </cell>
          <cell r="B5021" t="str">
            <v>B</v>
          </cell>
          <cell r="C5021">
            <v>16.73</v>
          </cell>
        </row>
        <row r="5022">
          <cell r="A5022" t="str">
            <v>LFF9897</v>
          </cell>
          <cell r="B5022" t="str">
            <v>N</v>
          </cell>
          <cell r="C5022">
            <v>48.94</v>
          </cell>
        </row>
        <row r="5023">
          <cell r="A5023" t="str">
            <v>LAF9909</v>
          </cell>
          <cell r="B5023" t="str">
            <v>D</v>
          </cell>
          <cell r="C5023">
            <v>38.630000000000003</v>
          </cell>
        </row>
        <row r="5024">
          <cell r="A5024" t="str">
            <v>AF9912</v>
          </cell>
          <cell r="B5024" t="str">
            <v>N</v>
          </cell>
          <cell r="C5024">
            <v>13.52</v>
          </cell>
        </row>
        <row r="5025">
          <cell r="A5025" t="str">
            <v>L9915F</v>
          </cell>
          <cell r="B5025" t="str">
            <v>N</v>
          </cell>
          <cell r="C5025">
            <v>78.680000000000007</v>
          </cell>
        </row>
        <row r="5026">
          <cell r="A5026" t="str">
            <v>LFP9930</v>
          </cell>
          <cell r="B5026" t="str">
            <v>C</v>
          </cell>
          <cell r="C5026">
            <v>13.97</v>
          </cell>
        </row>
        <row r="5027">
          <cell r="A5027" t="str">
            <v>LFF9954</v>
          </cell>
          <cell r="B5027" t="str">
            <v>N</v>
          </cell>
          <cell r="C5027">
            <v>14.89</v>
          </cell>
        </row>
        <row r="5028">
          <cell r="A5028" t="str">
            <v>LAF9961</v>
          </cell>
          <cell r="B5028" t="str">
            <v>D</v>
          </cell>
          <cell r="C5028">
            <v>78.510000000000005</v>
          </cell>
        </row>
        <row r="5029">
          <cell r="A5029" t="str">
            <v>LAF9972</v>
          </cell>
          <cell r="B5029" t="str">
            <v>D</v>
          </cell>
          <cell r="C5029">
            <v>48.59</v>
          </cell>
        </row>
        <row r="5030">
          <cell r="A5030" t="str">
            <v>LFF9982</v>
          </cell>
          <cell r="B5030" t="str">
            <v>N</v>
          </cell>
          <cell r="C5030">
            <v>44.84</v>
          </cell>
        </row>
        <row r="5031">
          <cell r="A5031" t="str">
            <v>LH11000</v>
          </cell>
          <cell r="B5031" t="str">
            <v>N</v>
          </cell>
          <cell r="C5031">
            <v>119.62</v>
          </cell>
        </row>
        <row r="5032">
          <cell r="A5032" t="str">
            <v>LH11001</v>
          </cell>
          <cell r="B5032" t="str">
            <v>N</v>
          </cell>
          <cell r="C5032">
            <v>119.67</v>
          </cell>
        </row>
        <row r="5033">
          <cell r="A5033" t="str">
            <v>LH11002V</v>
          </cell>
          <cell r="B5033" t="str">
            <v>N</v>
          </cell>
          <cell r="C5033">
            <v>163.46</v>
          </cell>
        </row>
        <row r="5034">
          <cell r="A5034" t="str">
            <v>LH11003V</v>
          </cell>
          <cell r="B5034" t="str">
            <v>N</v>
          </cell>
          <cell r="C5034">
            <v>238.86</v>
          </cell>
        </row>
        <row r="5035">
          <cell r="A5035" t="str">
            <v>LH11004</v>
          </cell>
          <cell r="B5035" t="str">
            <v>N</v>
          </cell>
          <cell r="C5035">
            <v>190.85</v>
          </cell>
        </row>
        <row r="5036">
          <cell r="A5036" t="str">
            <v>LH11005V</v>
          </cell>
          <cell r="B5036" t="str">
            <v>N</v>
          </cell>
          <cell r="C5036">
            <v>91.48</v>
          </cell>
        </row>
        <row r="5037">
          <cell r="A5037" t="str">
            <v>LH11006V</v>
          </cell>
          <cell r="B5037" t="str">
            <v>N</v>
          </cell>
          <cell r="C5037">
            <v>120.17</v>
          </cell>
        </row>
        <row r="5038">
          <cell r="A5038" t="str">
            <v>LH11007</v>
          </cell>
          <cell r="B5038" t="str">
            <v>N</v>
          </cell>
          <cell r="C5038">
            <v>92.47</v>
          </cell>
        </row>
        <row r="5039">
          <cell r="A5039" t="str">
            <v>LH11008V</v>
          </cell>
          <cell r="B5039" t="str">
            <v>N</v>
          </cell>
          <cell r="C5039">
            <v>60.07</v>
          </cell>
        </row>
        <row r="5040">
          <cell r="A5040" t="str">
            <v>LH11009V</v>
          </cell>
          <cell r="B5040" t="str">
            <v>N</v>
          </cell>
          <cell r="C5040">
            <v>42.11</v>
          </cell>
        </row>
        <row r="5041">
          <cell r="A5041" t="str">
            <v>LH11010V</v>
          </cell>
          <cell r="B5041" t="str">
            <v>N</v>
          </cell>
          <cell r="C5041">
            <v>27.87</v>
          </cell>
        </row>
        <row r="5042">
          <cell r="A5042" t="str">
            <v>LH11011V</v>
          </cell>
          <cell r="B5042" t="str">
            <v>N</v>
          </cell>
          <cell r="C5042">
            <v>140</v>
          </cell>
        </row>
        <row r="5043">
          <cell r="A5043" t="str">
            <v>LH11012V</v>
          </cell>
          <cell r="B5043" t="str">
            <v>N</v>
          </cell>
          <cell r="C5043">
            <v>172.11</v>
          </cell>
        </row>
        <row r="5044">
          <cell r="A5044" t="str">
            <v>LH11013V</v>
          </cell>
          <cell r="B5044" t="str">
            <v>N</v>
          </cell>
          <cell r="C5044">
            <v>369.7</v>
          </cell>
        </row>
        <row r="5045">
          <cell r="A5045" t="str">
            <v>LH11014V</v>
          </cell>
          <cell r="B5045" t="str">
            <v>N</v>
          </cell>
          <cell r="C5045">
            <v>59.04</v>
          </cell>
        </row>
        <row r="5046">
          <cell r="A5046" t="str">
            <v>LH11015V</v>
          </cell>
          <cell r="B5046" t="str">
            <v>N</v>
          </cell>
          <cell r="C5046">
            <v>49.04</v>
          </cell>
        </row>
        <row r="5047">
          <cell r="A5047" t="str">
            <v>LH11016V</v>
          </cell>
          <cell r="B5047" t="str">
            <v>N</v>
          </cell>
          <cell r="C5047">
            <v>85.32</v>
          </cell>
        </row>
        <row r="5048">
          <cell r="A5048" t="str">
            <v>LH11017V</v>
          </cell>
          <cell r="B5048" t="str">
            <v>N</v>
          </cell>
          <cell r="C5048">
            <v>80.69</v>
          </cell>
        </row>
        <row r="5049">
          <cell r="A5049" t="str">
            <v>LH11018V</v>
          </cell>
          <cell r="B5049" t="str">
            <v>N</v>
          </cell>
          <cell r="C5049">
            <v>55.78</v>
          </cell>
        </row>
        <row r="5050">
          <cell r="A5050" t="str">
            <v>LH11019V</v>
          </cell>
          <cell r="B5050" t="str">
            <v>N</v>
          </cell>
          <cell r="C5050">
            <v>81.52</v>
          </cell>
        </row>
        <row r="5051">
          <cell r="A5051" t="str">
            <v>LH11020V</v>
          </cell>
          <cell r="B5051" t="str">
            <v>N</v>
          </cell>
          <cell r="C5051">
            <v>197.31</v>
          </cell>
        </row>
        <row r="5052">
          <cell r="A5052" t="str">
            <v>LH11021V</v>
          </cell>
          <cell r="B5052" t="str">
            <v>N</v>
          </cell>
          <cell r="C5052">
            <v>179.07</v>
          </cell>
        </row>
        <row r="5053">
          <cell r="A5053" t="str">
            <v>LH11023V</v>
          </cell>
          <cell r="B5053" t="str">
            <v>N</v>
          </cell>
          <cell r="C5053">
            <v>58.35</v>
          </cell>
        </row>
        <row r="5054">
          <cell r="A5054" t="str">
            <v>LH11024V</v>
          </cell>
          <cell r="B5054" t="str">
            <v>N</v>
          </cell>
          <cell r="C5054">
            <v>74.97</v>
          </cell>
        </row>
        <row r="5055">
          <cell r="A5055" t="str">
            <v>LH11025</v>
          </cell>
          <cell r="B5055" t="str">
            <v>N</v>
          </cell>
          <cell r="C5055">
            <v>135.83000000000001</v>
          </cell>
        </row>
        <row r="5056">
          <cell r="A5056" t="str">
            <v>LH11026</v>
          </cell>
          <cell r="B5056" t="str">
            <v>N</v>
          </cell>
          <cell r="C5056">
            <v>90.28</v>
          </cell>
        </row>
        <row r="5057">
          <cell r="A5057" t="str">
            <v>LH11027</v>
          </cell>
          <cell r="B5057" t="str">
            <v>N</v>
          </cell>
          <cell r="C5057">
            <v>205.42</v>
          </cell>
        </row>
        <row r="5058">
          <cell r="A5058" t="str">
            <v>LH11028</v>
          </cell>
          <cell r="B5058" t="str">
            <v>N</v>
          </cell>
          <cell r="C5058">
            <v>132.4</v>
          </cell>
        </row>
        <row r="5059">
          <cell r="A5059" t="str">
            <v>LH11029</v>
          </cell>
          <cell r="B5059" t="str">
            <v>N</v>
          </cell>
          <cell r="C5059">
            <v>70.819999999999993</v>
          </cell>
        </row>
        <row r="5060">
          <cell r="A5060" t="str">
            <v>LH11030V</v>
          </cell>
          <cell r="B5060" t="str">
            <v>N</v>
          </cell>
          <cell r="C5060">
            <v>62.6</v>
          </cell>
        </row>
        <row r="5061">
          <cell r="A5061" t="str">
            <v>LH11031V</v>
          </cell>
          <cell r="B5061" t="str">
            <v>N</v>
          </cell>
          <cell r="C5061">
            <v>304.11</v>
          </cell>
        </row>
        <row r="5062">
          <cell r="A5062" t="str">
            <v>LH11032V</v>
          </cell>
          <cell r="B5062" t="str">
            <v>N</v>
          </cell>
          <cell r="C5062">
            <v>163.88</v>
          </cell>
        </row>
        <row r="5063">
          <cell r="A5063" t="str">
            <v>LH11033V</v>
          </cell>
          <cell r="B5063" t="str">
            <v>N</v>
          </cell>
          <cell r="C5063">
            <v>120.38</v>
          </cell>
        </row>
        <row r="5064">
          <cell r="A5064" t="str">
            <v>LH11034</v>
          </cell>
          <cell r="B5064" t="str">
            <v>N</v>
          </cell>
          <cell r="C5064">
            <v>168.3</v>
          </cell>
        </row>
        <row r="5065">
          <cell r="A5065" t="str">
            <v>LH11035</v>
          </cell>
          <cell r="B5065" t="str">
            <v>N</v>
          </cell>
          <cell r="C5065">
            <v>169.1</v>
          </cell>
        </row>
        <row r="5066">
          <cell r="A5066" t="str">
            <v>LH11036V</v>
          </cell>
          <cell r="B5066" t="str">
            <v>N</v>
          </cell>
          <cell r="C5066">
            <v>55.71</v>
          </cell>
        </row>
        <row r="5067">
          <cell r="A5067" t="str">
            <v>LH11037V</v>
          </cell>
          <cell r="B5067" t="str">
            <v>N</v>
          </cell>
          <cell r="C5067">
            <v>137.13999999999999</v>
          </cell>
        </row>
        <row r="5068">
          <cell r="A5068" t="str">
            <v>LH11038V</v>
          </cell>
          <cell r="B5068" t="str">
            <v>N</v>
          </cell>
          <cell r="C5068">
            <v>41.24</v>
          </cell>
        </row>
        <row r="5069">
          <cell r="A5069" t="str">
            <v>LH11039V</v>
          </cell>
          <cell r="B5069" t="str">
            <v>N</v>
          </cell>
          <cell r="C5069">
            <v>54.4</v>
          </cell>
        </row>
        <row r="5070">
          <cell r="A5070" t="str">
            <v>LH11040V</v>
          </cell>
          <cell r="B5070" t="str">
            <v>N</v>
          </cell>
          <cell r="C5070">
            <v>176.65</v>
          </cell>
        </row>
        <row r="5071">
          <cell r="A5071" t="str">
            <v>LH11041V</v>
          </cell>
          <cell r="B5071" t="str">
            <v>N</v>
          </cell>
          <cell r="C5071">
            <v>142.46</v>
          </cell>
        </row>
        <row r="5072">
          <cell r="A5072" t="str">
            <v>LH11043V</v>
          </cell>
          <cell r="B5072" t="str">
            <v>N</v>
          </cell>
          <cell r="C5072">
            <v>158.08000000000001</v>
          </cell>
        </row>
        <row r="5073">
          <cell r="A5073" t="str">
            <v>LH11044V</v>
          </cell>
          <cell r="B5073" t="str">
            <v>N</v>
          </cell>
          <cell r="C5073">
            <v>119.94</v>
          </cell>
        </row>
        <row r="5074">
          <cell r="A5074" t="str">
            <v>CAF12000XL</v>
          </cell>
          <cell r="B5074" t="str">
            <v>N</v>
          </cell>
          <cell r="C5074">
            <v>30.92</v>
          </cell>
        </row>
        <row r="5075">
          <cell r="A5075" t="str">
            <v>CAF12001XL</v>
          </cell>
          <cell r="B5075" t="str">
            <v>N</v>
          </cell>
          <cell r="C5075">
            <v>39.14</v>
          </cell>
        </row>
        <row r="5076">
          <cell r="A5076">
            <v>18864</v>
          </cell>
          <cell r="B5076" t="str">
            <v>D</v>
          </cell>
          <cell r="C5076">
            <v>49.42</v>
          </cell>
        </row>
        <row r="5077">
          <cell r="A5077">
            <v>18865</v>
          </cell>
          <cell r="B5077" t="str">
            <v>D</v>
          </cell>
          <cell r="C5077">
            <v>49.42</v>
          </cell>
        </row>
        <row r="5078">
          <cell r="A5078">
            <v>18866</v>
          </cell>
          <cell r="B5078" t="str">
            <v>D</v>
          </cell>
          <cell r="C5078">
            <v>49.42</v>
          </cell>
        </row>
        <row r="5079">
          <cell r="A5079">
            <v>18868</v>
          </cell>
          <cell r="B5079" t="str">
            <v>D</v>
          </cell>
          <cell r="C5079">
            <v>49.42</v>
          </cell>
        </row>
        <row r="5080">
          <cell r="A5080">
            <v>20362</v>
          </cell>
          <cell r="B5080" t="str">
            <v>D</v>
          </cell>
          <cell r="C5080">
            <v>16.420000000000002</v>
          </cell>
        </row>
        <row r="5081">
          <cell r="A5081">
            <v>20951</v>
          </cell>
          <cell r="B5081" t="str">
            <v>D</v>
          </cell>
          <cell r="C5081">
            <v>57.27</v>
          </cell>
        </row>
        <row r="5082">
          <cell r="A5082">
            <v>20954</v>
          </cell>
          <cell r="B5082" t="str">
            <v>D</v>
          </cell>
          <cell r="C5082">
            <v>61.59</v>
          </cell>
        </row>
        <row r="5083">
          <cell r="A5083">
            <v>21221</v>
          </cell>
          <cell r="B5083" t="str">
            <v>D</v>
          </cell>
          <cell r="C5083">
            <v>23.75</v>
          </cell>
        </row>
        <row r="5084">
          <cell r="A5084">
            <v>21224</v>
          </cell>
          <cell r="B5084" t="str">
            <v>D</v>
          </cell>
          <cell r="C5084">
            <v>22.73</v>
          </cell>
        </row>
        <row r="5085">
          <cell r="A5085">
            <v>21594</v>
          </cell>
          <cell r="B5085" t="str">
            <v>D</v>
          </cell>
          <cell r="C5085">
            <v>58.9</v>
          </cell>
        </row>
        <row r="5086">
          <cell r="A5086">
            <v>21595</v>
          </cell>
          <cell r="B5086" t="str">
            <v>D</v>
          </cell>
          <cell r="C5086">
            <v>58.9</v>
          </cell>
        </row>
        <row r="5087">
          <cell r="A5087">
            <v>21596</v>
          </cell>
          <cell r="B5087" t="str">
            <v>D</v>
          </cell>
          <cell r="C5087">
            <v>58.9</v>
          </cell>
        </row>
        <row r="5088">
          <cell r="A5088" t="str">
            <v>L22000F</v>
          </cell>
          <cell r="B5088" t="str">
            <v>D</v>
          </cell>
          <cell r="C5088">
            <v>164.59</v>
          </cell>
        </row>
        <row r="5089">
          <cell r="A5089" t="str">
            <v>LH22001</v>
          </cell>
          <cell r="B5089" t="str">
            <v>D</v>
          </cell>
          <cell r="C5089">
            <v>29.08</v>
          </cell>
        </row>
        <row r="5090">
          <cell r="A5090" t="str">
            <v>LH22002</v>
          </cell>
          <cell r="B5090" t="str">
            <v>D</v>
          </cell>
          <cell r="C5090">
            <v>26.34</v>
          </cell>
        </row>
        <row r="5091">
          <cell r="A5091" t="str">
            <v>LFH22003</v>
          </cell>
          <cell r="B5091" t="str">
            <v>D</v>
          </cell>
          <cell r="C5091">
            <v>52.67</v>
          </cell>
        </row>
        <row r="5092">
          <cell r="A5092" t="str">
            <v>LFH22005</v>
          </cell>
          <cell r="B5092" t="str">
            <v>D</v>
          </cell>
          <cell r="C5092">
            <v>79.25</v>
          </cell>
        </row>
        <row r="5093">
          <cell r="A5093" t="str">
            <v>LAF22006</v>
          </cell>
          <cell r="B5093" t="str">
            <v>D</v>
          </cell>
          <cell r="C5093">
            <v>96.74</v>
          </cell>
        </row>
        <row r="5094">
          <cell r="A5094" t="str">
            <v>LFH22007</v>
          </cell>
          <cell r="B5094" t="str">
            <v>B</v>
          </cell>
          <cell r="C5094">
            <v>39.1</v>
          </cell>
        </row>
        <row r="5095">
          <cell r="A5095" t="str">
            <v>L22008F</v>
          </cell>
          <cell r="B5095" t="str">
            <v>D</v>
          </cell>
          <cell r="C5095">
            <v>25.54</v>
          </cell>
        </row>
        <row r="5096">
          <cell r="A5096" t="str">
            <v>LFH22009</v>
          </cell>
          <cell r="B5096" t="str">
            <v>D</v>
          </cell>
          <cell r="C5096">
            <v>101.14</v>
          </cell>
        </row>
        <row r="5097">
          <cell r="A5097" t="str">
            <v>LAF22010</v>
          </cell>
          <cell r="B5097" t="str">
            <v>D</v>
          </cell>
          <cell r="C5097">
            <v>212.62</v>
          </cell>
        </row>
        <row r="5098">
          <cell r="A5098" t="str">
            <v>LAF22012</v>
          </cell>
          <cell r="B5098" t="str">
            <v>D</v>
          </cell>
          <cell r="C5098">
            <v>52.84</v>
          </cell>
        </row>
        <row r="5099">
          <cell r="A5099" t="str">
            <v>LAF22013</v>
          </cell>
          <cell r="B5099" t="str">
            <v>D</v>
          </cell>
          <cell r="C5099">
            <v>67.56</v>
          </cell>
        </row>
        <row r="5100">
          <cell r="A5100" t="str">
            <v>LFP22014</v>
          </cell>
          <cell r="B5100" t="str">
            <v>D</v>
          </cell>
          <cell r="C5100">
            <v>33.56</v>
          </cell>
        </row>
        <row r="5101">
          <cell r="A5101" t="str">
            <v>LFH22016</v>
          </cell>
          <cell r="B5101" t="str">
            <v>D</v>
          </cell>
          <cell r="C5101">
            <v>28.59</v>
          </cell>
        </row>
        <row r="5102">
          <cell r="A5102" t="str">
            <v>LH22019</v>
          </cell>
          <cell r="B5102" t="str">
            <v>D</v>
          </cell>
          <cell r="C5102">
            <v>41.56</v>
          </cell>
        </row>
        <row r="5103">
          <cell r="A5103" t="str">
            <v>LFP22020</v>
          </cell>
          <cell r="B5103" t="str">
            <v>D</v>
          </cell>
          <cell r="C5103">
            <v>15.46</v>
          </cell>
        </row>
        <row r="5104">
          <cell r="A5104" t="str">
            <v>LAF22022</v>
          </cell>
          <cell r="B5104" t="str">
            <v>D</v>
          </cell>
          <cell r="C5104">
            <v>375</v>
          </cell>
        </row>
        <row r="5105">
          <cell r="A5105" t="str">
            <v>L22023F</v>
          </cell>
          <cell r="B5105" t="str">
            <v>D</v>
          </cell>
          <cell r="C5105">
            <v>35.14</v>
          </cell>
        </row>
        <row r="5106">
          <cell r="A5106" t="str">
            <v>LAF22024</v>
          </cell>
          <cell r="B5106" t="str">
            <v>D</v>
          </cell>
          <cell r="C5106">
            <v>15.49</v>
          </cell>
        </row>
        <row r="5107">
          <cell r="A5107" t="str">
            <v>LAF22025</v>
          </cell>
          <cell r="B5107" t="str">
            <v>B</v>
          </cell>
          <cell r="C5107">
            <v>13.01</v>
          </cell>
        </row>
        <row r="5108">
          <cell r="A5108" t="str">
            <v>LAF22026</v>
          </cell>
          <cell r="B5108" t="str">
            <v>D</v>
          </cell>
          <cell r="C5108">
            <v>108.01</v>
          </cell>
        </row>
        <row r="5109">
          <cell r="A5109" t="str">
            <v>LFH22027</v>
          </cell>
          <cell r="B5109" t="str">
            <v>D</v>
          </cell>
          <cell r="C5109">
            <v>35.69</v>
          </cell>
        </row>
        <row r="5110">
          <cell r="A5110" t="str">
            <v>LFH22028</v>
          </cell>
          <cell r="B5110" t="str">
            <v>D</v>
          </cell>
          <cell r="C5110">
            <v>196.45</v>
          </cell>
        </row>
        <row r="5111">
          <cell r="A5111" t="str">
            <v>LAF22029</v>
          </cell>
          <cell r="B5111" t="str">
            <v>D</v>
          </cell>
          <cell r="C5111">
            <v>74.900000000000006</v>
          </cell>
        </row>
        <row r="5112">
          <cell r="A5112" t="str">
            <v>LAF22030</v>
          </cell>
          <cell r="B5112" t="str">
            <v>D</v>
          </cell>
          <cell r="C5112">
            <v>50.9</v>
          </cell>
        </row>
        <row r="5113">
          <cell r="A5113" t="str">
            <v>LAF22031</v>
          </cell>
          <cell r="B5113" t="str">
            <v>D</v>
          </cell>
          <cell r="C5113">
            <v>44.31</v>
          </cell>
        </row>
        <row r="5114">
          <cell r="A5114" t="str">
            <v>LH22033</v>
          </cell>
          <cell r="B5114" t="str">
            <v>D</v>
          </cell>
          <cell r="C5114">
            <v>64.91</v>
          </cell>
        </row>
        <row r="5115">
          <cell r="A5115" t="str">
            <v>LFH22034</v>
          </cell>
          <cell r="B5115" t="str">
            <v>D</v>
          </cell>
          <cell r="C5115">
            <v>113.26</v>
          </cell>
        </row>
        <row r="5116">
          <cell r="A5116" t="str">
            <v>LAF22035</v>
          </cell>
          <cell r="B5116" t="str">
            <v>D</v>
          </cell>
          <cell r="C5116">
            <v>163.53</v>
          </cell>
        </row>
        <row r="5117">
          <cell r="A5117" t="str">
            <v>LAF22036</v>
          </cell>
          <cell r="B5117" t="str">
            <v>D</v>
          </cell>
          <cell r="C5117">
            <v>18.86</v>
          </cell>
        </row>
        <row r="5118">
          <cell r="A5118" t="str">
            <v>LAF22037</v>
          </cell>
          <cell r="B5118" t="str">
            <v>D</v>
          </cell>
          <cell r="C5118">
            <v>45.77</v>
          </cell>
        </row>
        <row r="5119">
          <cell r="A5119" t="str">
            <v>LFW22038</v>
          </cell>
          <cell r="B5119" t="str">
            <v>D</v>
          </cell>
          <cell r="C5119">
            <v>30.03</v>
          </cell>
        </row>
        <row r="5120">
          <cell r="A5120" t="str">
            <v>AF22039</v>
          </cell>
          <cell r="B5120" t="str">
            <v>D</v>
          </cell>
          <cell r="C5120">
            <v>49.68</v>
          </cell>
        </row>
        <row r="5121">
          <cell r="A5121" t="str">
            <v>LFH22040</v>
          </cell>
          <cell r="B5121" t="str">
            <v>D</v>
          </cell>
          <cell r="C5121">
            <v>172.31</v>
          </cell>
        </row>
        <row r="5122">
          <cell r="A5122" t="str">
            <v>LFH22041</v>
          </cell>
          <cell r="B5122" t="str">
            <v>D</v>
          </cell>
          <cell r="C5122">
            <v>81.47</v>
          </cell>
        </row>
        <row r="5123">
          <cell r="A5123" t="str">
            <v>LFH22042</v>
          </cell>
          <cell r="B5123" t="str">
            <v>D</v>
          </cell>
          <cell r="C5123">
            <v>225.41</v>
          </cell>
        </row>
        <row r="5124">
          <cell r="A5124" t="str">
            <v>LFH22043</v>
          </cell>
          <cell r="B5124" t="str">
            <v>D</v>
          </cell>
          <cell r="C5124">
            <v>122.96</v>
          </cell>
        </row>
        <row r="5125">
          <cell r="A5125" t="str">
            <v>LH22044</v>
          </cell>
          <cell r="B5125" t="str">
            <v>D</v>
          </cell>
          <cell r="C5125">
            <v>105.5</v>
          </cell>
        </row>
        <row r="5126">
          <cell r="A5126" t="str">
            <v>LAF22045</v>
          </cell>
          <cell r="B5126" t="str">
            <v>D</v>
          </cell>
          <cell r="C5126">
            <v>19.739999999999998</v>
          </cell>
        </row>
        <row r="5127">
          <cell r="A5127" t="str">
            <v>LAF22046</v>
          </cell>
          <cell r="B5127" t="str">
            <v>D</v>
          </cell>
          <cell r="C5127">
            <v>15.93</v>
          </cell>
        </row>
        <row r="5128">
          <cell r="A5128" t="str">
            <v>LAF22047</v>
          </cell>
          <cell r="B5128" t="str">
            <v>D</v>
          </cell>
          <cell r="C5128">
            <v>34.19</v>
          </cell>
        </row>
        <row r="5129">
          <cell r="A5129" t="str">
            <v>LAF22048</v>
          </cell>
          <cell r="B5129" t="str">
            <v>D</v>
          </cell>
          <cell r="C5129">
            <v>12.02</v>
          </cell>
        </row>
        <row r="5130">
          <cell r="A5130" t="str">
            <v>LAF22049</v>
          </cell>
          <cell r="B5130" t="str">
            <v>D</v>
          </cell>
          <cell r="C5130">
            <v>28.11</v>
          </cell>
        </row>
        <row r="5131">
          <cell r="A5131" t="str">
            <v>LAF22051</v>
          </cell>
          <cell r="B5131" t="str">
            <v>D</v>
          </cell>
          <cell r="C5131">
            <v>189.03</v>
          </cell>
        </row>
        <row r="5132">
          <cell r="A5132" t="str">
            <v>LFH22052</v>
          </cell>
          <cell r="B5132" t="str">
            <v>D</v>
          </cell>
          <cell r="C5132">
            <v>32.619999999999997</v>
          </cell>
        </row>
        <row r="5133">
          <cell r="A5133" t="str">
            <v>LAF22053</v>
          </cell>
          <cell r="B5133" t="str">
            <v>D</v>
          </cell>
          <cell r="C5133">
            <v>86.86</v>
          </cell>
        </row>
        <row r="5134">
          <cell r="A5134" t="str">
            <v>LAF22055</v>
          </cell>
          <cell r="B5134" t="str">
            <v>D</v>
          </cell>
          <cell r="C5134">
            <v>225.84</v>
          </cell>
        </row>
        <row r="5135">
          <cell r="A5135" t="str">
            <v>LAF22056</v>
          </cell>
          <cell r="B5135" t="str">
            <v>D</v>
          </cell>
          <cell r="C5135">
            <v>15.96</v>
          </cell>
        </row>
        <row r="5136">
          <cell r="A5136" t="str">
            <v>LAF22057</v>
          </cell>
          <cell r="B5136" t="str">
            <v>D</v>
          </cell>
          <cell r="C5136">
            <v>104.19</v>
          </cell>
        </row>
        <row r="5137">
          <cell r="A5137" t="str">
            <v>LAF22059</v>
          </cell>
          <cell r="B5137" t="str">
            <v>D</v>
          </cell>
          <cell r="C5137">
            <v>97.89</v>
          </cell>
        </row>
        <row r="5138">
          <cell r="A5138" t="str">
            <v>L22060F</v>
          </cell>
          <cell r="B5138" t="str">
            <v>D</v>
          </cell>
          <cell r="C5138">
            <v>15.22</v>
          </cell>
        </row>
        <row r="5139">
          <cell r="A5139" t="str">
            <v>LAF22061</v>
          </cell>
          <cell r="B5139" t="str">
            <v>D</v>
          </cell>
          <cell r="C5139">
            <v>352.17</v>
          </cell>
        </row>
        <row r="5140">
          <cell r="A5140" t="str">
            <v>LAF22062</v>
          </cell>
          <cell r="B5140" t="str">
            <v>D</v>
          </cell>
          <cell r="C5140">
            <v>51.34</v>
          </cell>
        </row>
        <row r="5141">
          <cell r="A5141" t="str">
            <v>LH22063</v>
          </cell>
          <cell r="B5141" t="str">
            <v>D</v>
          </cell>
          <cell r="C5141">
            <v>96.91</v>
          </cell>
        </row>
        <row r="5142">
          <cell r="A5142" t="str">
            <v>LH22064</v>
          </cell>
          <cell r="B5142" t="str">
            <v>D</v>
          </cell>
          <cell r="C5142">
            <v>24.61</v>
          </cell>
        </row>
        <row r="5143">
          <cell r="A5143" t="str">
            <v>P22065</v>
          </cell>
          <cell r="B5143" t="str">
            <v>D</v>
          </cell>
          <cell r="C5143">
            <v>15.45</v>
          </cell>
        </row>
        <row r="5144">
          <cell r="A5144" t="str">
            <v>P22066</v>
          </cell>
          <cell r="B5144" t="str">
            <v>D</v>
          </cell>
          <cell r="C5144">
            <v>17.14</v>
          </cell>
        </row>
        <row r="5145">
          <cell r="A5145" t="str">
            <v>LH22067</v>
          </cell>
          <cell r="B5145" t="str">
            <v>D</v>
          </cell>
          <cell r="C5145">
            <v>60.59</v>
          </cell>
        </row>
        <row r="5146">
          <cell r="A5146" t="str">
            <v>LH22068</v>
          </cell>
          <cell r="B5146" t="str">
            <v>D</v>
          </cell>
          <cell r="C5146">
            <v>69.48</v>
          </cell>
        </row>
        <row r="5147">
          <cell r="A5147" t="str">
            <v>LH22069</v>
          </cell>
          <cell r="B5147" t="str">
            <v>D</v>
          </cell>
          <cell r="C5147">
            <v>25.11</v>
          </cell>
        </row>
        <row r="5148">
          <cell r="A5148" t="str">
            <v>LH22070</v>
          </cell>
          <cell r="B5148" t="str">
            <v>D</v>
          </cell>
          <cell r="C5148">
            <v>26.71</v>
          </cell>
        </row>
        <row r="5149">
          <cell r="A5149" t="str">
            <v>LH22072</v>
          </cell>
          <cell r="B5149" t="str">
            <v>D</v>
          </cell>
          <cell r="C5149">
            <v>35.950000000000003</v>
          </cell>
        </row>
        <row r="5150">
          <cell r="A5150" t="str">
            <v>LH22074</v>
          </cell>
          <cell r="B5150" t="str">
            <v>D</v>
          </cell>
          <cell r="C5150">
            <v>28.61</v>
          </cell>
        </row>
        <row r="5151">
          <cell r="A5151" t="str">
            <v>P22075</v>
          </cell>
          <cell r="B5151" t="str">
            <v>D</v>
          </cell>
          <cell r="C5151">
            <v>12.09</v>
          </cell>
        </row>
        <row r="5152">
          <cell r="A5152" t="str">
            <v>G22076</v>
          </cell>
          <cell r="B5152" t="str">
            <v>D</v>
          </cell>
          <cell r="C5152">
            <v>10.83</v>
          </cell>
        </row>
        <row r="5153">
          <cell r="A5153" t="str">
            <v>G22077</v>
          </cell>
          <cell r="B5153" t="str">
            <v>D</v>
          </cell>
          <cell r="C5153">
            <v>68.709999999999994</v>
          </cell>
        </row>
        <row r="5154">
          <cell r="A5154" t="str">
            <v>G22078</v>
          </cell>
          <cell r="B5154" t="str">
            <v>D</v>
          </cell>
          <cell r="C5154">
            <v>33.03</v>
          </cell>
        </row>
        <row r="5155">
          <cell r="A5155" t="str">
            <v>LAF22080</v>
          </cell>
          <cell r="B5155" t="str">
            <v>D</v>
          </cell>
          <cell r="C5155">
            <v>144.4</v>
          </cell>
        </row>
        <row r="5156">
          <cell r="A5156" t="str">
            <v>LAF22081</v>
          </cell>
          <cell r="B5156" t="str">
            <v>D</v>
          </cell>
          <cell r="C5156">
            <v>88.04</v>
          </cell>
        </row>
        <row r="5157">
          <cell r="A5157" t="str">
            <v>AF22082</v>
          </cell>
          <cell r="B5157" t="str">
            <v>D</v>
          </cell>
          <cell r="C5157">
            <v>39.700000000000003</v>
          </cell>
        </row>
        <row r="5158">
          <cell r="A5158" t="str">
            <v>LAF22083</v>
          </cell>
          <cell r="B5158" t="str">
            <v>D</v>
          </cell>
          <cell r="C5158">
            <v>166.76</v>
          </cell>
        </row>
        <row r="5159">
          <cell r="A5159" t="str">
            <v>LAF22084</v>
          </cell>
          <cell r="B5159" t="str">
            <v>D</v>
          </cell>
          <cell r="C5159">
            <v>52.21</v>
          </cell>
        </row>
        <row r="5160">
          <cell r="A5160" t="str">
            <v>LAF22085</v>
          </cell>
          <cell r="B5160" t="str">
            <v>D</v>
          </cell>
          <cell r="C5160">
            <v>119.73</v>
          </cell>
        </row>
        <row r="5161">
          <cell r="A5161" t="str">
            <v>LAF22086</v>
          </cell>
          <cell r="B5161" t="str">
            <v>D</v>
          </cell>
          <cell r="C5161">
            <v>57.95</v>
          </cell>
        </row>
        <row r="5162">
          <cell r="A5162" t="str">
            <v>LAF22087</v>
          </cell>
          <cell r="B5162" t="str">
            <v>D</v>
          </cell>
          <cell r="C5162">
            <v>8.48</v>
          </cell>
        </row>
        <row r="5163">
          <cell r="A5163" t="str">
            <v>LAF22088</v>
          </cell>
          <cell r="B5163" t="str">
            <v>D</v>
          </cell>
          <cell r="C5163">
            <v>9.98</v>
          </cell>
        </row>
        <row r="5164">
          <cell r="A5164" t="str">
            <v>LAF22090</v>
          </cell>
          <cell r="B5164" t="str">
            <v>D</v>
          </cell>
          <cell r="C5164">
            <v>123.33</v>
          </cell>
        </row>
        <row r="5165">
          <cell r="A5165" t="str">
            <v>LAF22092</v>
          </cell>
          <cell r="B5165" t="str">
            <v>D</v>
          </cell>
          <cell r="C5165">
            <v>330.16</v>
          </cell>
        </row>
        <row r="5166">
          <cell r="A5166" t="str">
            <v>LAF22093</v>
          </cell>
          <cell r="B5166" t="str">
            <v>D</v>
          </cell>
          <cell r="C5166">
            <v>200.62</v>
          </cell>
        </row>
        <row r="5167">
          <cell r="A5167" t="str">
            <v>LAF22095</v>
          </cell>
          <cell r="B5167" t="str">
            <v>D</v>
          </cell>
          <cell r="C5167">
            <v>16.07</v>
          </cell>
        </row>
        <row r="5168">
          <cell r="A5168" t="str">
            <v>LAF22096</v>
          </cell>
          <cell r="B5168" t="str">
            <v>D</v>
          </cell>
          <cell r="C5168">
            <v>78.37</v>
          </cell>
        </row>
        <row r="5169">
          <cell r="A5169" t="str">
            <v>LAF22097</v>
          </cell>
          <cell r="B5169" t="str">
            <v>D</v>
          </cell>
          <cell r="C5169">
            <v>83.88</v>
          </cell>
        </row>
        <row r="5170">
          <cell r="A5170" t="str">
            <v>LAF22098</v>
          </cell>
          <cell r="B5170" t="str">
            <v>D</v>
          </cell>
          <cell r="C5170">
            <v>69.17</v>
          </cell>
        </row>
        <row r="5171">
          <cell r="A5171" t="str">
            <v>LAF22101</v>
          </cell>
          <cell r="B5171" t="str">
            <v>D</v>
          </cell>
          <cell r="C5171">
            <v>87.74</v>
          </cell>
        </row>
        <row r="5172">
          <cell r="A5172" t="str">
            <v>LAF22105</v>
          </cell>
          <cell r="B5172" t="str">
            <v>D</v>
          </cell>
          <cell r="C5172">
            <v>50.2</v>
          </cell>
        </row>
        <row r="5173">
          <cell r="A5173" t="str">
            <v>LAF22106</v>
          </cell>
          <cell r="B5173" t="str">
            <v>D</v>
          </cell>
          <cell r="C5173">
            <v>103.79</v>
          </cell>
        </row>
        <row r="5174">
          <cell r="A5174" t="str">
            <v>LAF22107</v>
          </cell>
          <cell r="B5174" t="str">
            <v>D</v>
          </cell>
          <cell r="C5174">
            <v>13.63</v>
          </cell>
        </row>
        <row r="5175">
          <cell r="A5175" t="str">
            <v>LAF22109</v>
          </cell>
          <cell r="B5175" t="str">
            <v>D</v>
          </cell>
          <cell r="C5175">
            <v>178.14</v>
          </cell>
        </row>
        <row r="5176">
          <cell r="A5176" t="str">
            <v>LAF22110</v>
          </cell>
          <cell r="B5176" t="str">
            <v>D</v>
          </cell>
          <cell r="C5176">
            <v>381.36</v>
          </cell>
        </row>
        <row r="5177">
          <cell r="A5177" t="str">
            <v>LFH22114</v>
          </cell>
          <cell r="B5177" t="str">
            <v>D</v>
          </cell>
          <cell r="C5177">
            <v>82.46</v>
          </cell>
        </row>
        <row r="5178">
          <cell r="A5178" t="str">
            <v>LH22116</v>
          </cell>
          <cell r="B5178" t="str">
            <v>D</v>
          </cell>
          <cell r="C5178">
            <v>39.6</v>
          </cell>
        </row>
        <row r="5179">
          <cell r="A5179" t="str">
            <v>LH22117</v>
          </cell>
          <cell r="B5179" t="str">
            <v>D</v>
          </cell>
          <cell r="C5179">
            <v>23.65</v>
          </cell>
        </row>
        <row r="5180">
          <cell r="A5180" t="str">
            <v>LH22119</v>
          </cell>
          <cell r="B5180" t="str">
            <v>D</v>
          </cell>
          <cell r="C5180">
            <v>90.62</v>
          </cell>
        </row>
        <row r="5181">
          <cell r="A5181" t="str">
            <v>LFH22120</v>
          </cell>
          <cell r="B5181" t="str">
            <v>D</v>
          </cell>
          <cell r="C5181">
            <v>47.42</v>
          </cell>
        </row>
        <row r="5182">
          <cell r="A5182" t="str">
            <v>LH22121</v>
          </cell>
          <cell r="B5182" t="str">
            <v>D</v>
          </cell>
          <cell r="C5182">
            <v>84.84</v>
          </cell>
        </row>
        <row r="5183">
          <cell r="A5183" t="str">
            <v>LH22122</v>
          </cell>
          <cell r="B5183" t="str">
            <v>D</v>
          </cell>
          <cell r="C5183">
            <v>73.62</v>
          </cell>
        </row>
        <row r="5184">
          <cell r="A5184" t="str">
            <v>LH22123</v>
          </cell>
          <cell r="B5184" t="str">
            <v>D</v>
          </cell>
          <cell r="C5184">
            <v>76.05</v>
          </cell>
        </row>
        <row r="5185">
          <cell r="A5185" t="str">
            <v>LH22124</v>
          </cell>
          <cell r="B5185" t="str">
            <v>D</v>
          </cell>
          <cell r="C5185">
            <v>58.05</v>
          </cell>
        </row>
        <row r="5186">
          <cell r="A5186" t="str">
            <v>LH22125</v>
          </cell>
          <cell r="B5186" t="str">
            <v>D</v>
          </cell>
          <cell r="C5186">
            <v>78.45</v>
          </cell>
        </row>
        <row r="5187">
          <cell r="A5187" t="str">
            <v>LH22126</v>
          </cell>
          <cell r="B5187" t="str">
            <v>D</v>
          </cell>
          <cell r="C5187">
            <v>52.49</v>
          </cell>
        </row>
        <row r="5188">
          <cell r="A5188" t="str">
            <v>LH22127</v>
          </cell>
          <cell r="B5188" t="str">
            <v>D</v>
          </cell>
          <cell r="C5188">
            <v>53.45</v>
          </cell>
        </row>
        <row r="5189">
          <cell r="A5189" t="str">
            <v>LH22128</v>
          </cell>
          <cell r="B5189" t="str">
            <v>D</v>
          </cell>
          <cell r="C5189">
            <v>70.349999999999994</v>
          </cell>
        </row>
        <row r="5190">
          <cell r="A5190" t="str">
            <v>LH22129</v>
          </cell>
          <cell r="B5190" t="str">
            <v>D</v>
          </cell>
          <cell r="C5190">
            <v>97.4</v>
          </cell>
        </row>
        <row r="5191">
          <cell r="A5191" t="str">
            <v>LP22130</v>
          </cell>
          <cell r="B5191" t="str">
            <v>D</v>
          </cell>
          <cell r="C5191">
            <v>18.25</v>
          </cell>
        </row>
        <row r="5192">
          <cell r="A5192" t="str">
            <v>LFW22138XL</v>
          </cell>
          <cell r="B5192" t="str">
            <v>D</v>
          </cell>
          <cell r="C5192">
            <v>100.38</v>
          </cell>
        </row>
        <row r="5193">
          <cell r="A5193" t="str">
            <v>LH22143</v>
          </cell>
          <cell r="B5193" t="str">
            <v>N</v>
          </cell>
          <cell r="C5193">
            <v>98.13</v>
          </cell>
        </row>
        <row r="5194">
          <cell r="A5194" t="str">
            <v>LBR22147</v>
          </cell>
          <cell r="B5194" t="str">
            <v>D</v>
          </cell>
          <cell r="C5194">
            <v>57.35</v>
          </cell>
        </row>
        <row r="5195">
          <cell r="A5195" t="str">
            <v>L22149B</v>
          </cell>
          <cell r="B5195" t="str">
            <v>D</v>
          </cell>
          <cell r="C5195">
            <v>39.369999999999997</v>
          </cell>
        </row>
        <row r="5196">
          <cell r="A5196" t="str">
            <v>LFH22150</v>
          </cell>
          <cell r="B5196" t="str">
            <v>D</v>
          </cell>
          <cell r="C5196">
            <v>136.49</v>
          </cell>
        </row>
        <row r="5197">
          <cell r="A5197" t="str">
            <v>LH22151</v>
          </cell>
          <cell r="B5197" t="str">
            <v>N</v>
          </cell>
          <cell r="C5197">
            <v>273.92</v>
          </cell>
        </row>
        <row r="5198">
          <cell r="A5198" t="str">
            <v>LH22152</v>
          </cell>
          <cell r="B5198" t="str">
            <v>N</v>
          </cell>
          <cell r="C5198">
            <v>47.62</v>
          </cell>
        </row>
        <row r="5199">
          <cell r="A5199" t="str">
            <v>LH22153</v>
          </cell>
          <cell r="B5199" t="str">
            <v>N</v>
          </cell>
          <cell r="C5199">
            <v>132</v>
          </cell>
        </row>
        <row r="5200">
          <cell r="A5200" t="str">
            <v>LWC22155</v>
          </cell>
          <cell r="B5200" t="str">
            <v>N</v>
          </cell>
          <cell r="C5200">
            <v>28.4</v>
          </cell>
        </row>
        <row r="5201">
          <cell r="A5201">
            <v>23906</v>
          </cell>
          <cell r="B5201" t="str">
            <v>D</v>
          </cell>
          <cell r="C5201">
            <v>38.94</v>
          </cell>
        </row>
        <row r="5202">
          <cell r="A5202">
            <v>23907</v>
          </cell>
          <cell r="B5202" t="str">
            <v>D</v>
          </cell>
          <cell r="C5202">
            <v>43</v>
          </cell>
        </row>
        <row r="5203">
          <cell r="A5203" t="str">
            <v>CAF24000</v>
          </cell>
          <cell r="B5203" t="str">
            <v>A</v>
          </cell>
          <cell r="C5203">
            <v>13.93</v>
          </cell>
        </row>
        <row r="5204">
          <cell r="A5204" t="str">
            <v>CAF24000XL</v>
          </cell>
          <cell r="B5204" t="str">
            <v>N</v>
          </cell>
          <cell r="C5204">
            <v>19.82</v>
          </cell>
        </row>
        <row r="5205">
          <cell r="A5205" t="str">
            <v>CAF24001</v>
          </cell>
          <cell r="B5205" t="str">
            <v>D</v>
          </cell>
          <cell r="C5205">
            <v>16.11</v>
          </cell>
        </row>
        <row r="5206">
          <cell r="A5206" t="str">
            <v>CAF24001XL</v>
          </cell>
          <cell r="B5206" t="str">
            <v>N</v>
          </cell>
          <cell r="C5206">
            <v>20.260000000000002</v>
          </cell>
        </row>
        <row r="5207">
          <cell r="A5207" t="str">
            <v>CAF24002</v>
          </cell>
          <cell r="B5207" t="str">
            <v>D</v>
          </cell>
          <cell r="C5207">
            <v>19.420000000000002</v>
          </cell>
        </row>
        <row r="5208">
          <cell r="A5208" t="str">
            <v>CAF24002XL</v>
          </cell>
          <cell r="B5208" t="str">
            <v>N</v>
          </cell>
          <cell r="C5208">
            <v>22.53</v>
          </cell>
        </row>
        <row r="5209">
          <cell r="A5209" t="str">
            <v>CAF24003</v>
          </cell>
          <cell r="B5209" t="str">
            <v>A</v>
          </cell>
          <cell r="C5209">
            <v>20.27</v>
          </cell>
        </row>
        <row r="5210">
          <cell r="A5210" t="str">
            <v>CAF24003XL</v>
          </cell>
          <cell r="B5210" t="str">
            <v>N</v>
          </cell>
          <cell r="C5210">
            <v>22.02</v>
          </cell>
        </row>
        <row r="5211">
          <cell r="A5211" t="str">
            <v>CAF24004</v>
          </cell>
          <cell r="B5211" t="str">
            <v>C</v>
          </cell>
          <cell r="C5211">
            <v>40.56</v>
          </cell>
        </row>
        <row r="5212">
          <cell r="A5212" t="str">
            <v>CAF24004XL</v>
          </cell>
          <cell r="B5212" t="str">
            <v>N</v>
          </cell>
          <cell r="C5212">
            <v>36.89</v>
          </cell>
        </row>
        <row r="5213">
          <cell r="A5213" t="str">
            <v>CAF24005</v>
          </cell>
          <cell r="B5213" t="str">
            <v>A</v>
          </cell>
          <cell r="C5213">
            <v>23.42</v>
          </cell>
        </row>
        <row r="5214">
          <cell r="A5214" t="str">
            <v>CAF24005XL</v>
          </cell>
          <cell r="B5214" t="str">
            <v>N</v>
          </cell>
          <cell r="C5214">
            <v>27.3</v>
          </cell>
        </row>
        <row r="5215">
          <cell r="A5215" t="str">
            <v>CAF24006</v>
          </cell>
          <cell r="B5215" t="str">
            <v>D</v>
          </cell>
          <cell r="C5215">
            <v>58.68</v>
          </cell>
        </row>
        <row r="5216">
          <cell r="A5216" t="str">
            <v>CAF24007</v>
          </cell>
          <cell r="B5216" t="str">
            <v>D</v>
          </cell>
          <cell r="C5216">
            <v>55.83</v>
          </cell>
        </row>
        <row r="5217">
          <cell r="A5217" t="str">
            <v>CAF24007XL</v>
          </cell>
          <cell r="B5217" t="str">
            <v>N</v>
          </cell>
          <cell r="C5217">
            <v>23.75</v>
          </cell>
        </row>
        <row r="5218">
          <cell r="A5218" t="str">
            <v>CAF24008</v>
          </cell>
          <cell r="B5218" t="str">
            <v>D</v>
          </cell>
          <cell r="C5218">
            <v>18.34</v>
          </cell>
        </row>
        <row r="5219">
          <cell r="A5219" t="str">
            <v>CAF24008XL</v>
          </cell>
          <cell r="B5219" t="str">
            <v>N</v>
          </cell>
          <cell r="C5219">
            <v>22.42</v>
          </cell>
        </row>
        <row r="5220">
          <cell r="A5220" t="str">
            <v>CAF24009</v>
          </cell>
          <cell r="B5220" t="str">
            <v>D</v>
          </cell>
          <cell r="C5220">
            <v>6.81</v>
          </cell>
        </row>
        <row r="5221">
          <cell r="A5221" t="str">
            <v>CAF24010</v>
          </cell>
          <cell r="B5221" t="str">
            <v>D</v>
          </cell>
          <cell r="C5221">
            <v>9.16</v>
          </cell>
        </row>
        <row r="5222">
          <cell r="A5222" t="str">
            <v>CAF24010XL</v>
          </cell>
          <cell r="B5222" t="str">
            <v>N</v>
          </cell>
          <cell r="C5222">
            <v>11.6</v>
          </cell>
        </row>
        <row r="5223">
          <cell r="A5223" t="str">
            <v>CAF24011</v>
          </cell>
          <cell r="B5223" t="str">
            <v>D</v>
          </cell>
          <cell r="C5223">
            <v>16.399999999999999</v>
          </cell>
        </row>
        <row r="5224">
          <cell r="A5224" t="str">
            <v>CAF24011XL</v>
          </cell>
          <cell r="B5224" t="str">
            <v>N</v>
          </cell>
          <cell r="C5224">
            <v>10.050000000000001</v>
          </cell>
        </row>
        <row r="5225">
          <cell r="A5225" t="str">
            <v>CAF24012</v>
          </cell>
          <cell r="B5225" t="str">
            <v>C</v>
          </cell>
          <cell r="C5225">
            <v>26.35</v>
          </cell>
        </row>
        <row r="5226">
          <cell r="A5226" t="str">
            <v>CAF24013</v>
          </cell>
          <cell r="B5226" t="str">
            <v>D</v>
          </cell>
          <cell r="C5226">
            <v>11.94</v>
          </cell>
        </row>
        <row r="5227">
          <cell r="A5227" t="str">
            <v>CAF24014</v>
          </cell>
          <cell r="B5227" t="str">
            <v>B</v>
          </cell>
          <cell r="C5227">
            <v>32.17</v>
          </cell>
        </row>
        <row r="5228">
          <cell r="A5228" t="str">
            <v>CAF24014XL</v>
          </cell>
          <cell r="B5228" t="str">
            <v>N</v>
          </cell>
          <cell r="C5228">
            <v>26.74</v>
          </cell>
        </row>
        <row r="5229">
          <cell r="A5229" t="str">
            <v>CAF24015</v>
          </cell>
          <cell r="B5229" t="str">
            <v>N</v>
          </cell>
          <cell r="C5229">
            <v>8.42</v>
          </cell>
        </row>
        <row r="5230">
          <cell r="A5230" t="str">
            <v>CAF24015XL</v>
          </cell>
          <cell r="B5230" t="str">
            <v>N</v>
          </cell>
          <cell r="C5230">
            <v>32.4</v>
          </cell>
        </row>
        <row r="5231">
          <cell r="A5231" t="str">
            <v>CAF24016</v>
          </cell>
          <cell r="B5231" t="str">
            <v>B</v>
          </cell>
          <cell r="C5231">
            <v>17.95</v>
          </cell>
        </row>
        <row r="5232">
          <cell r="A5232" t="str">
            <v>CAF24016XL</v>
          </cell>
          <cell r="B5232" t="str">
            <v>N</v>
          </cell>
          <cell r="C5232">
            <v>18.57</v>
          </cell>
        </row>
        <row r="5233">
          <cell r="A5233" t="str">
            <v>CAF24017</v>
          </cell>
          <cell r="B5233" t="str">
            <v>D</v>
          </cell>
          <cell r="C5233">
            <v>41.84</v>
          </cell>
        </row>
        <row r="5234">
          <cell r="A5234" t="str">
            <v>CAF24017XL</v>
          </cell>
          <cell r="B5234" t="str">
            <v>N</v>
          </cell>
          <cell r="C5234">
            <v>54.57</v>
          </cell>
        </row>
        <row r="5235">
          <cell r="A5235" t="str">
            <v>CAF24020</v>
          </cell>
          <cell r="B5235" t="str">
            <v>N</v>
          </cell>
          <cell r="C5235">
            <v>10.1</v>
          </cell>
        </row>
        <row r="5236">
          <cell r="A5236" t="str">
            <v>CAF24021</v>
          </cell>
          <cell r="B5236" t="str">
            <v>D</v>
          </cell>
          <cell r="C5236">
            <v>8.36</v>
          </cell>
        </row>
        <row r="5237">
          <cell r="A5237" t="str">
            <v>CAF24024</v>
          </cell>
          <cell r="B5237" t="str">
            <v>N</v>
          </cell>
          <cell r="C5237">
            <v>33.01</v>
          </cell>
        </row>
        <row r="5238">
          <cell r="A5238">
            <v>32576</v>
          </cell>
          <cell r="B5238" t="str">
            <v>D</v>
          </cell>
          <cell r="C5238">
            <v>88.89</v>
          </cell>
        </row>
        <row r="5239">
          <cell r="A5239">
            <v>33151</v>
          </cell>
          <cell r="B5239" t="str">
            <v>D</v>
          </cell>
          <cell r="C5239">
            <v>158.66</v>
          </cell>
        </row>
        <row r="5240">
          <cell r="A5240">
            <v>33152</v>
          </cell>
          <cell r="B5240" t="str">
            <v>D</v>
          </cell>
          <cell r="C5240">
            <v>222.81</v>
          </cell>
        </row>
        <row r="5241">
          <cell r="A5241">
            <v>37642</v>
          </cell>
          <cell r="B5241" t="str">
            <v>D</v>
          </cell>
          <cell r="C5241">
            <v>248.99</v>
          </cell>
        </row>
        <row r="5242">
          <cell r="A5242">
            <v>38454</v>
          </cell>
          <cell r="B5242" t="str">
            <v>A</v>
          </cell>
          <cell r="C5242">
            <v>13.8</v>
          </cell>
        </row>
        <row r="5243">
          <cell r="A5243">
            <v>38502</v>
          </cell>
          <cell r="B5243" t="str">
            <v>D</v>
          </cell>
          <cell r="C5243">
            <v>403.05</v>
          </cell>
        </row>
        <row r="5244">
          <cell r="A5244">
            <v>38944</v>
          </cell>
          <cell r="B5244" t="str">
            <v>D</v>
          </cell>
          <cell r="C5244">
            <v>29.9</v>
          </cell>
        </row>
        <row r="5245">
          <cell r="A5245">
            <v>39231</v>
          </cell>
          <cell r="B5245" t="str">
            <v>D</v>
          </cell>
          <cell r="C5245">
            <v>519.13</v>
          </cell>
        </row>
        <row r="5246">
          <cell r="A5246">
            <v>55324</v>
          </cell>
          <cell r="B5246" t="str">
            <v>D</v>
          </cell>
          <cell r="C5246">
            <v>7.06</v>
          </cell>
        </row>
        <row r="5247">
          <cell r="A5247">
            <v>55325</v>
          </cell>
          <cell r="B5247" t="str">
            <v>D</v>
          </cell>
          <cell r="C5247">
            <v>7.19</v>
          </cell>
        </row>
        <row r="5248">
          <cell r="A5248">
            <v>55326</v>
          </cell>
          <cell r="B5248" t="str">
            <v>D</v>
          </cell>
          <cell r="C5248">
            <v>7.19</v>
          </cell>
        </row>
        <row r="5249">
          <cell r="A5249">
            <v>55328</v>
          </cell>
          <cell r="B5249" t="str">
            <v>D</v>
          </cell>
          <cell r="C5249">
            <v>7.19</v>
          </cell>
        </row>
        <row r="5250">
          <cell r="A5250" t="str">
            <v>LFF90011</v>
          </cell>
          <cell r="B5250" t="str">
            <v>D</v>
          </cell>
          <cell r="C5250">
            <v>52.2</v>
          </cell>
        </row>
        <row r="5251">
          <cell r="A5251" t="str">
            <v>LFF90013</v>
          </cell>
          <cell r="B5251" t="str">
            <v>D</v>
          </cell>
          <cell r="C5251">
            <v>25.05</v>
          </cell>
        </row>
        <row r="5252">
          <cell r="A5252" t="str">
            <v>LH95011</v>
          </cell>
          <cell r="B5252" t="str">
            <v>D</v>
          </cell>
          <cell r="C5252">
            <v>148.22999999999999</v>
          </cell>
        </row>
        <row r="5253">
          <cell r="A5253" t="str">
            <v>LH95024V</v>
          </cell>
          <cell r="B5253" t="str">
            <v>D</v>
          </cell>
          <cell r="C5253">
            <v>112.3</v>
          </cell>
        </row>
        <row r="5254">
          <cell r="A5254" t="str">
            <v>LH95027V</v>
          </cell>
          <cell r="B5254" t="str">
            <v>D</v>
          </cell>
          <cell r="C5254">
            <v>229</v>
          </cell>
        </row>
        <row r="5255">
          <cell r="A5255" t="str">
            <v>LH95035V</v>
          </cell>
          <cell r="B5255" t="str">
            <v>D</v>
          </cell>
          <cell r="C5255">
            <v>172.66</v>
          </cell>
        </row>
        <row r="5256">
          <cell r="A5256" t="str">
            <v>LH95037V</v>
          </cell>
          <cell r="B5256" t="str">
            <v>D</v>
          </cell>
          <cell r="C5256">
            <v>261.8</v>
          </cell>
        </row>
        <row r="5257">
          <cell r="A5257" t="str">
            <v>LH95046V</v>
          </cell>
          <cell r="B5257" t="str">
            <v>D</v>
          </cell>
          <cell r="C5257">
            <v>116.59</v>
          </cell>
        </row>
        <row r="5258">
          <cell r="A5258" t="str">
            <v>LH95058V</v>
          </cell>
          <cell r="B5258" t="str">
            <v>D</v>
          </cell>
          <cell r="C5258">
            <v>115.1</v>
          </cell>
        </row>
        <row r="5259">
          <cell r="A5259" t="str">
            <v>LH95063V</v>
          </cell>
          <cell r="B5259" t="str">
            <v>D</v>
          </cell>
          <cell r="C5259">
            <v>174.73</v>
          </cell>
        </row>
        <row r="5260">
          <cell r="A5260" t="str">
            <v>LH95105V</v>
          </cell>
          <cell r="B5260" t="str">
            <v>D</v>
          </cell>
          <cell r="C5260">
            <v>125.52</v>
          </cell>
        </row>
        <row r="5261">
          <cell r="A5261" t="str">
            <v>LH95107V</v>
          </cell>
          <cell r="B5261" t="str">
            <v>D</v>
          </cell>
          <cell r="C5261">
            <v>40.53</v>
          </cell>
        </row>
        <row r="5262">
          <cell r="A5262" t="str">
            <v>LH95115V</v>
          </cell>
          <cell r="B5262" t="str">
            <v>D</v>
          </cell>
          <cell r="C5262">
            <v>115.74</v>
          </cell>
        </row>
        <row r="5263">
          <cell r="A5263" t="str">
            <v>LH95117V</v>
          </cell>
          <cell r="B5263" t="str">
            <v>D</v>
          </cell>
          <cell r="C5263">
            <v>142.04</v>
          </cell>
        </row>
        <row r="5264">
          <cell r="A5264" t="str">
            <v>LH95121</v>
          </cell>
          <cell r="B5264" t="str">
            <v>D</v>
          </cell>
          <cell r="C5264">
            <v>116.04</v>
          </cell>
        </row>
        <row r="5265">
          <cell r="A5265" t="str">
            <v>LH95121V</v>
          </cell>
          <cell r="B5265" t="str">
            <v>D</v>
          </cell>
          <cell r="C5265">
            <v>122.62</v>
          </cell>
        </row>
        <row r="5266">
          <cell r="A5266" t="str">
            <v>LH95152</v>
          </cell>
          <cell r="B5266" t="str">
            <v>D</v>
          </cell>
          <cell r="C5266">
            <v>120.18</v>
          </cell>
        </row>
        <row r="5267">
          <cell r="A5267" t="str">
            <v>LH95197</v>
          </cell>
          <cell r="B5267" t="str">
            <v>D</v>
          </cell>
          <cell r="C5267">
            <v>113.88</v>
          </cell>
        </row>
        <row r="5268">
          <cell r="A5268" t="str">
            <v>LH95241</v>
          </cell>
          <cell r="B5268" t="str">
            <v>D</v>
          </cell>
          <cell r="C5268">
            <v>165.07</v>
          </cell>
        </row>
        <row r="5269">
          <cell r="A5269" t="str">
            <v>LH95266V</v>
          </cell>
          <cell r="B5269" t="str">
            <v>D</v>
          </cell>
          <cell r="C5269">
            <v>172.94</v>
          </cell>
        </row>
        <row r="5270">
          <cell r="A5270" t="str">
            <v>LH95269V</v>
          </cell>
          <cell r="B5270" t="str">
            <v>D</v>
          </cell>
          <cell r="C5270">
            <v>82.97</v>
          </cell>
        </row>
        <row r="5271">
          <cell r="A5271" t="str">
            <v>LH95271V</v>
          </cell>
          <cell r="B5271" t="str">
            <v>D</v>
          </cell>
          <cell r="C5271">
            <v>101.42</v>
          </cell>
        </row>
        <row r="5272">
          <cell r="A5272" t="str">
            <v>LH95272V</v>
          </cell>
          <cell r="B5272" t="str">
            <v>D</v>
          </cell>
          <cell r="C5272">
            <v>130.93</v>
          </cell>
        </row>
        <row r="5273">
          <cell r="A5273" t="str">
            <v>LH95276V</v>
          </cell>
          <cell r="B5273" t="str">
            <v>D</v>
          </cell>
          <cell r="C5273">
            <v>130.93</v>
          </cell>
        </row>
        <row r="5274">
          <cell r="A5274" t="str">
            <v>LH95277V</v>
          </cell>
          <cell r="B5274" t="str">
            <v>D</v>
          </cell>
          <cell r="C5274">
            <v>60.17</v>
          </cell>
        </row>
        <row r="5275">
          <cell r="A5275" t="str">
            <v>LH95279V</v>
          </cell>
          <cell r="B5275" t="str">
            <v>D</v>
          </cell>
          <cell r="C5275">
            <v>136.07</v>
          </cell>
        </row>
        <row r="5276">
          <cell r="A5276" t="str">
            <v>LH95281V</v>
          </cell>
          <cell r="B5276" t="str">
            <v>D</v>
          </cell>
          <cell r="C5276">
            <v>57.39</v>
          </cell>
        </row>
        <row r="5277">
          <cell r="A5277" t="str">
            <v>LH95282V</v>
          </cell>
          <cell r="B5277" t="str">
            <v>D</v>
          </cell>
          <cell r="C5277">
            <v>72.03</v>
          </cell>
        </row>
        <row r="5278">
          <cell r="A5278" t="str">
            <v>LH95304V</v>
          </cell>
          <cell r="B5278" t="str">
            <v>D</v>
          </cell>
          <cell r="C5278">
            <v>78.209999999999994</v>
          </cell>
        </row>
        <row r="5279">
          <cell r="A5279" t="str">
            <v>LH95305V</v>
          </cell>
          <cell r="B5279" t="str">
            <v>D</v>
          </cell>
          <cell r="C5279">
            <v>78.209999999999994</v>
          </cell>
        </row>
        <row r="5280">
          <cell r="A5280" t="str">
            <v>LH95314V</v>
          </cell>
          <cell r="B5280" t="str">
            <v>D</v>
          </cell>
          <cell r="C5280">
            <v>129.83000000000001</v>
          </cell>
        </row>
        <row r="5281">
          <cell r="A5281" t="str">
            <v>LH95315V</v>
          </cell>
          <cell r="B5281" t="str">
            <v>D</v>
          </cell>
          <cell r="C5281">
            <v>150.55000000000001</v>
          </cell>
        </row>
        <row r="5282">
          <cell r="A5282" t="str">
            <v>LH95316V</v>
          </cell>
          <cell r="B5282" t="str">
            <v>D</v>
          </cell>
          <cell r="C5282">
            <v>80.540000000000006</v>
          </cell>
        </row>
        <row r="5283">
          <cell r="A5283" t="str">
            <v>LH95332V</v>
          </cell>
          <cell r="B5283" t="str">
            <v>D</v>
          </cell>
          <cell r="C5283">
            <v>72.84</v>
          </cell>
        </row>
        <row r="5284">
          <cell r="A5284" t="str">
            <v>LH95341V</v>
          </cell>
          <cell r="B5284" t="str">
            <v>D</v>
          </cell>
          <cell r="C5284">
            <v>131.44</v>
          </cell>
        </row>
        <row r="5285">
          <cell r="A5285" t="str">
            <v>LH95345V</v>
          </cell>
          <cell r="B5285" t="str">
            <v>D</v>
          </cell>
          <cell r="C5285">
            <v>107.38</v>
          </cell>
        </row>
        <row r="5286">
          <cell r="A5286" t="str">
            <v>LH95361V</v>
          </cell>
          <cell r="B5286" t="str">
            <v>D</v>
          </cell>
          <cell r="C5286">
            <v>87.05</v>
          </cell>
        </row>
        <row r="5287">
          <cell r="A5287" t="str">
            <v>LH95394V</v>
          </cell>
          <cell r="B5287" t="str">
            <v>D</v>
          </cell>
          <cell r="C5287">
            <v>204.46</v>
          </cell>
        </row>
        <row r="5288">
          <cell r="A5288" t="str">
            <v>LFH95415</v>
          </cell>
          <cell r="B5288" t="str">
            <v>D</v>
          </cell>
          <cell r="C5288">
            <v>104.92</v>
          </cell>
        </row>
        <row r="5289">
          <cell r="A5289" t="str">
            <v>LH95460V</v>
          </cell>
          <cell r="B5289" t="str">
            <v>D</v>
          </cell>
          <cell r="C5289">
            <v>92.21</v>
          </cell>
        </row>
        <row r="5290">
          <cell r="A5290" t="str">
            <v>LH95610</v>
          </cell>
          <cell r="B5290" t="str">
            <v>D</v>
          </cell>
          <cell r="C5290">
            <v>761.13</v>
          </cell>
        </row>
        <row r="5291">
          <cell r="A5291" t="str">
            <v>LH95850</v>
          </cell>
          <cell r="B5291" t="str">
            <v>D</v>
          </cell>
          <cell r="C5291">
            <v>156.54</v>
          </cell>
        </row>
        <row r="5292">
          <cell r="A5292" t="str">
            <v>LH95920V</v>
          </cell>
          <cell r="B5292" t="str">
            <v>D</v>
          </cell>
          <cell r="C5292">
            <v>108.21</v>
          </cell>
        </row>
        <row r="5293">
          <cell r="A5293" t="str">
            <v>LH95996V</v>
          </cell>
          <cell r="B5293" t="str">
            <v>D</v>
          </cell>
          <cell r="C5293">
            <v>347.39</v>
          </cell>
        </row>
        <row r="5294">
          <cell r="A5294" t="str">
            <v>LH95999V</v>
          </cell>
          <cell r="B5294" t="str">
            <v>D</v>
          </cell>
          <cell r="C5294">
            <v>444.96</v>
          </cell>
        </row>
        <row r="5295">
          <cell r="A5295">
            <v>130610</v>
          </cell>
          <cell r="B5295" t="str">
            <v>D</v>
          </cell>
          <cell r="C5295">
            <v>15.34</v>
          </cell>
        </row>
        <row r="5296">
          <cell r="A5296">
            <v>130612</v>
          </cell>
          <cell r="B5296" t="str">
            <v>D</v>
          </cell>
          <cell r="C5296">
            <v>15.34</v>
          </cell>
        </row>
        <row r="5297">
          <cell r="A5297" t="str">
            <v>LFP152499B</v>
          </cell>
          <cell r="B5297" t="str">
            <v>D</v>
          </cell>
          <cell r="C5297">
            <v>19.16</v>
          </cell>
        </row>
        <row r="5298">
          <cell r="A5298">
            <v>215993</v>
          </cell>
          <cell r="B5298" t="str">
            <v>D</v>
          </cell>
          <cell r="C5298">
            <v>2.15</v>
          </cell>
        </row>
        <row r="5299">
          <cell r="A5299">
            <v>920005</v>
          </cell>
          <cell r="B5299" t="str">
            <v>D</v>
          </cell>
          <cell r="C5299">
            <v>108.96</v>
          </cell>
        </row>
        <row r="5300">
          <cell r="A5300">
            <v>920021</v>
          </cell>
          <cell r="B5300" t="str">
            <v>A</v>
          </cell>
          <cell r="C5300">
            <v>4.4800000000000004</v>
          </cell>
        </row>
        <row r="5301">
          <cell r="A5301">
            <v>920055</v>
          </cell>
          <cell r="B5301" t="str">
            <v>D</v>
          </cell>
          <cell r="C5301">
            <v>897.46</v>
          </cell>
        </row>
        <row r="5302">
          <cell r="A5302">
            <v>920064</v>
          </cell>
          <cell r="B5302" t="str">
            <v>C</v>
          </cell>
          <cell r="C5302">
            <v>10.73</v>
          </cell>
        </row>
        <row r="5303">
          <cell r="A5303">
            <v>2613863</v>
          </cell>
          <cell r="B5303" t="str">
            <v>D</v>
          </cell>
          <cell r="C5303">
            <v>4.08</v>
          </cell>
        </row>
        <row r="5304">
          <cell r="A5304" t="str">
            <v>55-13104</v>
          </cell>
          <cell r="B5304" t="str">
            <v>D</v>
          </cell>
          <cell r="C5304">
            <v>1.1499999999999999</v>
          </cell>
        </row>
        <row r="5305">
          <cell r="A5305" t="str">
            <v>55-13106</v>
          </cell>
          <cell r="B5305" t="str">
            <v>D</v>
          </cell>
          <cell r="C5305">
            <v>1.1499999999999999</v>
          </cell>
        </row>
        <row r="5306">
          <cell r="A5306">
            <v>32621606</v>
          </cell>
          <cell r="B5306" t="str">
            <v>D</v>
          </cell>
          <cell r="C5306">
            <v>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54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F6" sqref="F6"/>
    </sheetView>
  </sheetViews>
  <sheetFormatPr defaultColWidth="9.140625" defaultRowHeight="15" x14ac:dyDescent="0.25"/>
  <cols>
    <col min="1" max="1" width="13.28515625" style="4" customWidth="1"/>
    <col min="2" max="2" width="10.28515625" style="4" customWidth="1"/>
    <col min="3" max="3" width="14.7109375" style="15" customWidth="1"/>
    <col min="4" max="4" width="8.7109375" style="15" customWidth="1"/>
    <col min="5" max="5" width="45.7109375" style="4" customWidth="1"/>
    <col min="6" max="6" width="51.42578125" style="11" customWidth="1"/>
    <col min="7" max="7" width="32.5703125" style="4" customWidth="1"/>
    <col min="8" max="8" width="18.42578125" style="4" customWidth="1"/>
    <col min="9" max="9" width="14" style="4" customWidth="1"/>
    <col min="10" max="10" width="14.28515625" style="4" customWidth="1"/>
    <col min="11" max="11" width="21" style="4" customWidth="1"/>
    <col min="12" max="12" width="14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5.42578125" style="4" customWidth="1"/>
    <col min="17" max="17" width="13.42578125" style="4" customWidth="1"/>
    <col min="18" max="18" width="10.28515625" style="4" customWidth="1"/>
    <col min="19" max="19" width="13.42578125" style="4" customWidth="1"/>
    <col min="20" max="20" width="9.7109375" style="4" customWidth="1"/>
    <col min="21" max="21" width="12.7109375" style="4" customWidth="1"/>
    <col min="22" max="22" width="11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9.85546875" style="4" customWidth="1"/>
    <col min="33" max="33" width="10.28515625" style="4" customWidth="1"/>
    <col min="34" max="34" width="15.5703125" style="4" customWidth="1"/>
    <col min="35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3" width="9" style="4" customWidth="1"/>
    <col min="44" max="44" width="8.28515625" style="4" customWidth="1"/>
    <col min="45" max="45" width="9.85546875" style="4" customWidth="1"/>
    <col min="46" max="48" width="8.28515625" style="4" customWidth="1"/>
    <col min="49" max="49" width="9.42578125" style="4" customWidth="1"/>
    <col min="50" max="50" width="13.140625" style="4" customWidth="1"/>
    <col min="51" max="51" width="15.140625" style="4" customWidth="1"/>
    <col min="52" max="52" width="7" style="4" customWidth="1"/>
    <col min="53" max="53" width="6.5703125" style="4" customWidth="1"/>
    <col min="54" max="54" width="6.85546875" style="4" customWidth="1"/>
    <col min="55" max="55" width="5.5703125" style="4" customWidth="1"/>
    <col min="56" max="56" width="6.85546875" style="4" customWidth="1"/>
    <col min="57" max="57" width="4.5703125" style="4" customWidth="1"/>
    <col min="58" max="58" width="7" style="4" customWidth="1"/>
    <col min="59" max="59" width="6.5703125" style="4" customWidth="1"/>
    <col min="60" max="60" width="6.85546875" style="4" customWidth="1"/>
    <col min="61" max="61" width="5.5703125" style="4" customWidth="1"/>
    <col min="62" max="62" width="7.5703125" style="4" customWidth="1"/>
    <col min="63" max="63" width="7" style="4" customWidth="1"/>
    <col min="64" max="64" width="6.5703125" style="4" customWidth="1"/>
    <col min="65" max="65" width="6.85546875" style="4" customWidth="1"/>
    <col min="66" max="66" width="5.5703125" style="4" customWidth="1"/>
    <col min="67" max="69" width="7.5703125" style="4" customWidth="1"/>
    <col min="70" max="70" width="17.85546875" style="4" customWidth="1"/>
    <col min="71" max="71" width="10.42578125" style="4" customWidth="1"/>
    <col min="72" max="72" width="12" style="4" customWidth="1"/>
    <col min="73" max="74" width="14.42578125" style="4" customWidth="1"/>
    <col min="75" max="75" width="13.28515625" style="4" customWidth="1"/>
    <col min="76" max="76" width="16.28515625" style="4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82" width="0" style="4" hidden="1" customWidth="1"/>
    <col min="83" max="16384" width="9.140625" style="4"/>
  </cols>
  <sheetData>
    <row r="1" spans="1:80" x14ac:dyDescent="0.25">
      <c r="F1" s="73" t="s">
        <v>76</v>
      </c>
    </row>
    <row r="2" spans="1:80" ht="23.25" x14ac:dyDescent="0.25">
      <c r="F2" s="2" t="s">
        <v>2977</v>
      </c>
      <c r="H2" s="2"/>
      <c r="I2" s="3"/>
    </row>
    <row r="3" spans="1:80" ht="20.25" x14ac:dyDescent="0.25">
      <c r="F3" s="31">
        <v>43084</v>
      </c>
    </row>
    <row r="4" spans="1:80" ht="15.75" customHeight="1" x14ac:dyDescent="0.25">
      <c r="A4" s="437" t="s">
        <v>17</v>
      </c>
      <c r="B4" s="437"/>
      <c r="C4" s="437"/>
      <c r="D4" s="437"/>
      <c r="E4" s="437"/>
      <c r="F4" s="437"/>
      <c r="G4" s="438" t="s">
        <v>15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40"/>
      <c r="U4" s="441" t="s">
        <v>16</v>
      </c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3"/>
      <c r="AR4" s="444" t="s">
        <v>67</v>
      </c>
      <c r="AS4" s="445"/>
      <c r="AT4" s="445"/>
      <c r="AU4" s="445"/>
      <c r="AV4" s="445"/>
      <c r="AW4" s="446"/>
      <c r="AX4" s="447" t="s">
        <v>19</v>
      </c>
      <c r="AY4" s="447"/>
      <c r="AZ4" s="436" t="s">
        <v>70</v>
      </c>
      <c r="BA4" s="436"/>
      <c r="BB4" s="436"/>
      <c r="BC4" s="436"/>
      <c r="BD4" s="436"/>
      <c r="BE4" s="436"/>
      <c r="BF4" s="424" t="s">
        <v>21</v>
      </c>
      <c r="BG4" s="425"/>
      <c r="BH4" s="425"/>
      <c r="BI4" s="425"/>
      <c r="BJ4" s="426"/>
      <c r="BK4" s="427" t="s">
        <v>27</v>
      </c>
      <c r="BL4" s="428"/>
      <c r="BM4" s="428"/>
      <c r="BN4" s="428"/>
      <c r="BO4" s="429"/>
      <c r="BP4" s="430" t="s">
        <v>33</v>
      </c>
      <c r="BQ4" s="431"/>
      <c r="BR4" s="431"/>
      <c r="BS4" s="431"/>
      <c r="BT4" s="431"/>
      <c r="BU4" s="431"/>
      <c r="BV4" s="431"/>
      <c r="BW4" s="431"/>
      <c r="BX4" s="431"/>
      <c r="BY4" s="432"/>
    </row>
    <row r="5" spans="1:80" ht="30" x14ac:dyDescent="0.25">
      <c r="A5" s="61" t="s">
        <v>74</v>
      </c>
      <c r="B5" s="62" t="s">
        <v>75</v>
      </c>
      <c r="C5" s="63" t="s">
        <v>0</v>
      </c>
      <c r="D5" s="64" t="s">
        <v>66</v>
      </c>
      <c r="E5" s="63" t="s">
        <v>2</v>
      </c>
      <c r="F5" s="65" t="s">
        <v>1</v>
      </c>
      <c r="G5" s="66" t="s">
        <v>3</v>
      </c>
      <c r="H5" s="67" t="s">
        <v>7</v>
      </c>
      <c r="I5" s="67" t="s">
        <v>4</v>
      </c>
      <c r="J5" s="67" t="s">
        <v>6</v>
      </c>
      <c r="K5" s="67" t="s">
        <v>5</v>
      </c>
      <c r="L5" s="67" t="s">
        <v>54</v>
      </c>
      <c r="M5" s="67" t="s">
        <v>52</v>
      </c>
      <c r="N5" s="67" t="s">
        <v>55</v>
      </c>
      <c r="O5" s="67" t="s">
        <v>56</v>
      </c>
      <c r="P5" s="67" t="s">
        <v>57</v>
      </c>
      <c r="Q5" s="67" t="s">
        <v>58</v>
      </c>
      <c r="R5" s="67" t="s">
        <v>59</v>
      </c>
      <c r="S5" s="67" t="s">
        <v>64</v>
      </c>
      <c r="T5" s="68" t="s">
        <v>59</v>
      </c>
      <c r="U5" s="58" t="s">
        <v>8</v>
      </c>
      <c r="V5" s="59" t="s">
        <v>46</v>
      </c>
      <c r="W5" s="59" t="s">
        <v>9</v>
      </c>
      <c r="X5" s="59" t="s">
        <v>35</v>
      </c>
      <c r="Y5" s="59" t="s">
        <v>10</v>
      </c>
      <c r="Z5" s="59" t="s">
        <v>47</v>
      </c>
      <c r="AA5" s="59" t="s">
        <v>11</v>
      </c>
      <c r="AB5" s="59" t="s">
        <v>51</v>
      </c>
      <c r="AC5" s="59" t="s">
        <v>12</v>
      </c>
      <c r="AD5" s="59" t="s">
        <v>50</v>
      </c>
      <c r="AE5" s="59" t="s">
        <v>48</v>
      </c>
      <c r="AF5" s="59" t="s">
        <v>784</v>
      </c>
      <c r="AG5" s="59" t="s">
        <v>14</v>
      </c>
      <c r="AH5" s="59" t="s">
        <v>36</v>
      </c>
      <c r="AI5" s="59" t="s">
        <v>695</v>
      </c>
      <c r="AJ5" s="59" t="s">
        <v>49</v>
      </c>
      <c r="AK5" s="59" t="s">
        <v>45</v>
      </c>
      <c r="AL5" s="59" t="s">
        <v>37</v>
      </c>
      <c r="AM5" s="59" t="s">
        <v>68</v>
      </c>
      <c r="AN5" s="59" t="s">
        <v>38</v>
      </c>
      <c r="AO5" s="59" t="s">
        <v>699</v>
      </c>
      <c r="AP5" s="59" t="s">
        <v>39</v>
      </c>
      <c r="AQ5" s="60" t="s">
        <v>13</v>
      </c>
      <c r="AR5" s="100" t="s">
        <v>20</v>
      </c>
      <c r="AS5" s="101" t="s">
        <v>713</v>
      </c>
      <c r="AT5" s="102" t="s">
        <v>714</v>
      </c>
      <c r="AU5" s="102" t="s">
        <v>715</v>
      </c>
      <c r="AV5" s="102" t="s">
        <v>716</v>
      </c>
      <c r="AW5" s="102" t="s">
        <v>717</v>
      </c>
      <c r="AX5" s="69" t="s">
        <v>18</v>
      </c>
      <c r="AY5" s="70" t="s">
        <v>53</v>
      </c>
      <c r="AZ5" s="74" t="s">
        <v>22</v>
      </c>
      <c r="BA5" s="75" t="s">
        <v>23</v>
      </c>
      <c r="BB5" s="75" t="s">
        <v>24</v>
      </c>
      <c r="BC5" s="75" t="s">
        <v>71</v>
      </c>
      <c r="BD5" s="75" t="s">
        <v>24</v>
      </c>
      <c r="BE5" s="76" t="s">
        <v>72</v>
      </c>
      <c r="BF5" s="71" t="s">
        <v>22</v>
      </c>
      <c r="BG5" s="54" t="s">
        <v>23</v>
      </c>
      <c r="BH5" s="54" t="s">
        <v>24</v>
      </c>
      <c r="BI5" s="54" t="s">
        <v>25</v>
      </c>
      <c r="BJ5" s="72" t="s">
        <v>26</v>
      </c>
      <c r="BK5" s="55" t="s">
        <v>22</v>
      </c>
      <c r="BL5" s="56" t="s">
        <v>23</v>
      </c>
      <c r="BM5" s="56" t="s">
        <v>24</v>
      </c>
      <c r="BN5" s="56" t="s">
        <v>25</v>
      </c>
      <c r="BO5" s="57" t="s">
        <v>26</v>
      </c>
      <c r="BP5" s="396" t="s">
        <v>2956</v>
      </c>
      <c r="BQ5" s="396" t="s">
        <v>2957</v>
      </c>
      <c r="BR5" s="397" t="s">
        <v>44</v>
      </c>
      <c r="BS5" s="397" t="s">
        <v>28</v>
      </c>
      <c r="BT5" s="397" t="s">
        <v>29</v>
      </c>
      <c r="BU5" s="397" t="s">
        <v>30</v>
      </c>
      <c r="BV5" s="397" t="s">
        <v>31</v>
      </c>
      <c r="BW5" s="397" t="s">
        <v>32</v>
      </c>
      <c r="BX5" s="397" t="s">
        <v>34</v>
      </c>
      <c r="BY5" s="397" t="s">
        <v>43</v>
      </c>
      <c r="BZ5" s="8" t="s">
        <v>40</v>
      </c>
      <c r="CA5" s="8" t="s">
        <v>41</v>
      </c>
      <c r="CB5" s="8" t="s">
        <v>42</v>
      </c>
    </row>
    <row r="6" spans="1:80" s="316" customFormat="1" ht="30" x14ac:dyDescent="0.25">
      <c r="A6" s="376">
        <v>43084</v>
      </c>
      <c r="B6" s="333" t="s">
        <v>14</v>
      </c>
      <c r="C6" s="332" t="s">
        <v>3132</v>
      </c>
      <c r="D6" s="229" t="s">
        <v>60</v>
      </c>
      <c r="E6" s="229" t="s">
        <v>3136</v>
      </c>
      <c r="F6" s="30" t="s">
        <v>3133</v>
      </c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159">
        <v>336.6</v>
      </c>
      <c r="AS6" s="409" t="s">
        <v>1158</v>
      </c>
      <c r="AT6" s="409" t="s">
        <v>1158</v>
      </c>
      <c r="AU6" s="409" t="s">
        <v>1158</v>
      </c>
      <c r="AV6" s="409" t="s">
        <v>1158</v>
      </c>
      <c r="AW6" s="409" t="s">
        <v>1158</v>
      </c>
      <c r="AX6" s="410" t="s">
        <v>3134</v>
      </c>
      <c r="AY6" s="416">
        <v>10038568745436</v>
      </c>
      <c r="AZ6" s="327"/>
      <c r="BA6" s="327"/>
      <c r="BB6" s="327"/>
      <c r="BC6" s="281">
        <v>17.61</v>
      </c>
      <c r="BD6" s="281">
        <v>23.5</v>
      </c>
      <c r="BE6" s="384"/>
      <c r="BF6" s="433" t="s">
        <v>1236</v>
      </c>
      <c r="BG6" s="434"/>
      <c r="BH6" s="434"/>
      <c r="BI6" s="434"/>
      <c r="BJ6" s="435"/>
      <c r="BK6" s="334">
        <v>19</v>
      </c>
      <c r="BL6" s="334">
        <v>18.62</v>
      </c>
      <c r="BM6" s="334">
        <v>24.5</v>
      </c>
      <c r="BN6" s="380">
        <v>0.1993</v>
      </c>
      <c r="BO6" s="334">
        <v>1.5</v>
      </c>
      <c r="BP6" s="334">
        <v>26</v>
      </c>
      <c r="BQ6" s="380">
        <v>27.5</v>
      </c>
      <c r="BR6" s="334" t="s">
        <v>733</v>
      </c>
      <c r="BS6" s="317">
        <v>1</v>
      </c>
      <c r="BT6" s="240">
        <v>4</v>
      </c>
      <c r="BU6" s="240">
        <v>2</v>
      </c>
      <c r="BV6" s="334">
        <v>8</v>
      </c>
      <c r="BW6" s="317">
        <v>270</v>
      </c>
      <c r="BX6" s="334" t="s">
        <v>890</v>
      </c>
      <c r="BY6" s="154" t="s">
        <v>783</v>
      </c>
      <c r="BZ6" s="331"/>
      <c r="CA6" s="331"/>
      <c r="CB6" s="236"/>
    </row>
    <row r="7" spans="1:80" x14ac:dyDescent="0.25">
      <c r="A7" s="376">
        <v>43084</v>
      </c>
      <c r="B7" s="333" t="s">
        <v>14</v>
      </c>
      <c r="C7" s="229" t="s">
        <v>3137</v>
      </c>
      <c r="D7" s="229" t="s">
        <v>60</v>
      </c>
      <c r="E7" s="229" t="s">
        <v>3138</v>
      </c>
      <c r="F7" s="211" t="s">
        <v>3139</v>
      </c>
      <c r="G7" s="328" t="s">
        <v>984</v>
      </c>
      <c r="H7" s="413">
        <v>4679981</v>
      </c>
      <c r="I7" s="419"/>
      <c r="J7" s="419"/>
      <c r="K7" s="419"/>
      <c r="L7" s="320"/>
      <c r="M7" s="320"/>
      <c r="N7" s="320"/>
      <c r="O7" s="320"/>
      <c r="P7" s="320"/>
      <c r="Q7" s="320"/>
      <c r="R7" s="320"/>
      <c r="S7" s="320"/>
      <c r="T7" s="320"/>
      <c r="U7" s="420" t="s">
        <v>3140</v>
      </c>
      <c r="V7" s="324"/>
      <c r="W7" s="319"/>
      <c r="X7" s="324"/>
      <c r="Y7" s="322" t="s">
        <v>3141</v>
      </c>
      <c r="Z7" s="324"/>
      <c r="AA7" s="319" t="s">
        <v>3142</v>
      </c>
      <c r="AB7" s="419"/>
      <c r="AC7" s="419"/>
      <c r="AD7" s="328"/>
      <c r="AE7" s="419"/>
      <c r="AF7" s="419"/>
      <c r="AG7" s="419"/>
      <c r="AH7" s="419"/>
      <c r="AI7" s="419"/>
      <c r="AJ7" s="419"/>
      <c r="AK7" s="419"/>
      <c r="AL7" s="322"/>
      <c r="AM7" s="419"/>
      <c r="AN7" s="419"/>
      <c r="AO7" s="419"/>
      <c r="AP7" s="419"/>
      <c r="AQ7" s="419">
        <v>33740</v>
      </c>
      <c r="AR7" s="159">
        <v>32.909999999999997</v>
      </c>
      <c r="AS7" s="330">
        <v>0.5</v>
      </c>
      <c r="AT7" s="330">
        <v>0.55000000000000004</v>
      </c>
      <c r="AU7" s="330">
        <v>0.35</v>
      </c>
      <c r="AV7" s="409" t="s">
        <v>1158</v>
      </c>
      <c r="AW7" s="409" t="s">
        <v>1158</v>
      </c>
      <c r="AX7" s="196" t="s">
        <v>3143</v>
      </c>
      <c r="AY7" s="408">
        <v>10038568744613</v>
      </c>
      <c r="AZ7" s="327"/>
      <c r="BA7" s="327"/>
      <c r="BB7" s="327"/>
      <c r="BC7" s="418">
        <v>3.72</v>
      </c>
      <c r="BD7" s="418">
        <v>8.0299999999999994</v>
      </c>
      <c r="BE7" s="384"/>
      <c r="BF7" s="421">
        <v>4.13</v>
      </c>
      <c r="BG7" s="421">
        <v>4.13</v>
      </c>
      <c r="BH7" s="421">
        <v>8.66</v>
      </c>
      <c r="BI7" s="421">
        <v>0.1169</v>
      </c>
      <c r="BJ7" s="421">
        <v>0.12</v>
      </c>
      <c r="BK7" s="163">
        <v>12.91</v>
      </c>
      <c r="BL7" s="163">
        <v>9.17</v>
      </c>
      <c r="BM7" s="163">
        <v>9.0500000000000007</v>
      </c>
      <c r="BN7" s="163">
        <f>(BK7*BL7*BM7)/1728</f>
        <v>0.62001246238425922</v>
      </c>
      <c r="BO7" s="379">
        <v>1.1200000000000001</v>
      </c>
      <c r="BP7" s="380">
        <v>0.5</v>
      </c>
      <c r="BQ7" s="380">
        <f>(BJ7*6)+BO7+BP7</f>
        <v>2.34</v>
      </c>
      <c r="BR7" s="334" t="s">
        <v>3083</v>
      </c>
      <c r="BS7" s="334">
        <v>6</v>
      </c>
      <c r="BT7" s="334">
        <v>12</v>
      </c>
      <c r="BU7" s="334">
        <v>5</v>
      </c>
      <c r="BV7" s="334">
        <v>60</v>
      </c>
      <c r="BW7" s="317">
        <f>(60*2.34)+50</f>
        <v>190.39999999999998</v>
      </c>
      <c r="BX7" s="334" t="s">
        <v>743</v>
      </c>
      <c r="BY7" s="154" t="s">
        <v>735</v>
      </c>
    </row>
    <row r="9" spans="1:80" ht="13.5" customHeight="1" x14ac:dyDescent="0.25">
      <c r="A9" s="12"/>
      <c r="B9" s="12"/>
      <c r="C9" s="12"/>
      <c r="D9" s="12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3"/>
      <c r="AS9" s="13"/>
      <c r="AT9" s="13"/>
      <c r="AU9" s="13"/>
      <c r="AV9" s="13"/>
      <c r="AW9" s="14"/>
      <c r="AY9" s="15"/>
      <c r="AZ9" s="15"/>
      <c r="BA9" s="15"/>
      <c r="BB9" s="15"/>
      <c r="BC9" s="15"/>
      <c r="BD9" s="15"/>
      <c r="BE9" s="15"/>
      <c r="BF9" s="9"/>
      <c r="BG9" s="9"/>
      <c r="BH9" s="9"/>
      <c r="BJ9" s="9"/>
      <c r="BK9" s="9"/>
      <c r="BL9" s="9"/>
      <c r="BM9" s="9"/>
      <c r="BO9" s="9"/>
      <c r="BP9" s="9"/>
      <c r="BQ9" s="9"/>
      <c r="BT9" s="15"/>
      <c r="BU9" s="15"/>
      <c r="BV9" s="15"/>
      <c r="BW9" s="15"/>
      <c r="BY9" s="10"/>
      <c r="BZ9" s="15"/>
      <c r="CA9" s="15"/>
      <c r="CB9" s="15"/>
    </row>
    <row r="10" spans="1:80" ht="13.5" customHeight="1" x14ac:dyDescent="0.25">
      <c r="A10" s="12"/>
      <c r="C10" s="12"/>
      <c r="D10" s="12"/>
      <c r="E10" s="12"/>
      <c r="F10" s="12"/>
      <c r="G10" s="12"/>
      <c r="H10" s="1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15"/>
      <c r="W10" s="15"/>
      <c r="X10" s="15"/>
      <c r="Y10" s="15"/>
      <c r="Z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3"/>
      <c r="AS10" s="13"/>
      <c r="AT10" s="13"/>
      <c r="AU10" s="13"/>
      <c r="AV10" s="13"/>
      <c r="AW10" s="14"/>
      <c r="AY10" s="15"/>
      <c r="AZ10" s="15"/>
      <c r="BA10" s="15"/>
      <c r="BB10" s="15"/>
      <c r="BC10" s="15"/>
      <c r="BD10" s="15"/>
      <c r="BE10" s="15"/>
      <c r="BF10" s="9"/>
      <c r="BG10" s="9"/>
      <c r="BH10" s="9"/>
      <c r="BJ10" s="9"/>
      <c r="BK10" s="9"/>
      <c r="BL10" s="9"/>
      <c r="BM10" s="9"/>
      <c r="BO10" s="9"/>
      <c r="BP10" s="9"/>
      <c r="BQ10" s="9"/>
      <c r="BT10" s="15"/>
      <c r="BU10" s="15"/>
      <c r="BV10" s="15"/>
      <c r="BW10" s="15"/>
      <c r="BY10" s="10"/>
      <c r="BZ10" s="15"/>
      <c r="CA10" s="15"/>
      <c r="CB10" s="15"/>
    </row>
    <row r="11" spans="1:80" ht="7.5" customHeight="1" x14ac:dyDescent="0.25">
      <c r="C11" s="11"/>
      <c r="D11" s="12"/>
      <c r="E11" s="12"/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V11" s="15"/>
      <c r="W11" s="15"/>
      <c r="X11" s="15"/>
      <c r="Y11" s="15"/>
      <c r="Z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3"/>
      <c r="AS11" s="13"/>
      <c r="AT11" s="13"/>
      <c r="AU11" s="13"/>
      <c r="AV11" s="13"/>
      <c r="AW11" s="14"/>
      <c r="AY11" s="15"/>
      <c r="AZ11" s="15"/>
      <c r="BA11" s="15"/>
      <c r="BB11" s="15"/>
      <c r="BC11" s="15"/>
      <c r="BD11" s="15"/>
      <c r="BE11" s="15"/>
      <c r="BF11" s="9"/>
      <c r="BG11" s="9"/>
      <c r="BH11" s="9"/>
      <c r="BJ11" s="9"/>
      <c r="BK11" s="9"/>
      <c r="BL11" s="9"/>
      <c r="BM11" s="9"/>
      <c r="BO11" s="9"/>
      <c r="BP11" s="9"/>
      <c r="BQ11" s="9"/>
      <c r="BT11" s="15"/>
      <c r="BU11" s="15"/>
      <c r="BV11" s="15"/>
      <c r="BW11" s="15"/>
      <c r="BY11" s="10"/>
      <c r="BZ11" s="15"/>
      <c r="CA11" s="15"/>
      <c r="CB11" s="15"/>
    </row>
    <row r="12" spans="1:80" ht="7.5" customHeight="1" x14ac:dyDescent="0.25">
      <c r="A12" s="40"/>
      <c r="B12" s="40"/>
      <c r="C12" s="40"/>
      <c r="D12" s="19"/>
      <c r="E12" s="19"/>
      <c r="F12" s="19"/>
      <c r="G12" s="19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0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2"/>
      <c r="AS12" s="22"/>
      <c r="AT12" s="22"/>
      <c r="AU12" s="22"/>
      <c r="AV12" s="22"/>
      <c r="AW12" s="23"/>
      <c r="AX12" s="20"/>
      <c r="AY12" s="21"/>
      <c r="AZ12" s="21"/>
      <c r="BA12" s="21"/>
      <c r="BB12" s="21"/>
      <c r="BC12" s="21"/>
      <c r="BD12" s="21"/>
      <c r="BE12" s="21"/>
      <c r="BF12" s="24"/>
      <c r="BG12" s="24"/>
      <c r="BH12" s="24"/>
      <c r="BI12" s="20"/>
      <c r="BJ12" s="24"/>
      <c r="BK12" s="24"/>
      <c r="BL12" s="24"/>
      <c r="BM12" s="24"/>
      <c r="BN12" s="20"/>
      <c r="BO12" s="24"/>
      <c r="BP12" s="24"/>
      <c r="BQ12" s="24"/>
      <c r="BR12" s="20"/>
      <c r="BS12" s="20"/>
      <c r="BT12" s="21"/>
      <c r="BU12" s="21"/>
      <c r="BV12" s="21"/>
      <c r="BW12" s="21"/>
      <c r="BX12" s="20"/>
      <c r="BY12" s="25"/>
      <c r="BZ12" s="21"/>
      <c r="CA12" s="15"/>
      <c r="CB12" s="15"/>
    </row>
    <row r="13" spans="1:80" ht="23.25" customHeight="1" x14ac:dyDescent="0.25">
      <c r="C13" s="11"/>
      <c r="D13" s="12"/>
      <c r="E13" s="12"/>
      <c r="F13" s="42" t="s">
        <v>3048</v>
      </c>
      <c r="H13" s="12"/>
      <c r="V13" s="15"/>
      <c r="W13" s="15"/>
      <c r="X13" s="15"/>
      <c r="Z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3"/>
      <c r="AS13" s="13"/>
      <c r="AT13" s="13"/>
      <c r="AU13" s="13"/>
      <c r="AV13" s="13"/>
      <c r="AW13" s="14"/>
      <c r="AY13" s="15"/>
      <c r="AZ13" s="15"/>
      <c r="BA13" s="15"/>
      <c r="BB13" s="15"/>
      <c r="BC13" s="15"/>
      <c r="BD13" s="15"/>
      <c r="BE13" s="15"/>
      <c r="BF13" s="9"/>
      <c r="BG13" s="9"/>
      <c r="BH13" s="9"/>
      <c r="BJ13" s="9"/>
      <c r="BK13" s="9"/>
      <c r="BL13" s="9"/>
      <c r="BM13" s="9"/>
      <c r="BO13" s="9"/>
      <c r="BP13" s="9"/>
      <c r="BQ13" s="9"/>
      <c r="BT13" s="15"/>
      <c r="BU13" s="15"/>
      <c r="BV13" s="15"/>
      <c r="BW13" s="15"/>
      <c r="BY13" s="10"/>
      <c r="BZ13" s="15"/>
      <c r="CA13" s="15"/>
      <c r="CB13" s="15"/>
    </row>
    <row r="14" spans="1:80" s="15" customFormat="1" ht="15" customHeight="1" x14ac:dyDescent="0.25">
      <c r="C14" s="11"/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3"/>
      <c r="AS14" s="13"/>
      <c r="AT14" s="13"/>
      <c r="AU14" s="13"/>
      <c r="AV14" s="13"/>
      <c r="AW14" s="14"/>
      <c r="AX14" s="4"/>
      <c r="AY14" s="4"/>
      <c r="AZ14" s="4"/>
      <c r="BA14" s="4"/>
      <c r="BB14" s="4"/>
      <c r="BC14" s="4"/>
      <c r="BD14" s="4"/>
      <c r="BE14" s="4"/>
      <c r="BF14" s="9"/>
      <c r="BG14" s="9"/>
      <c r="BH14" s="9"/>
      <c r="BI14" s="4"/>
      <c r="BJ14" s="9"/>
      <c r="BK14" s="9"/>
      <c r="BL14" s="9"/>
      <c r="BM14" s="9"/>
      <c r="BN14" s="4"/>
      <c r="BO14" s="9"/>
      <c r="BP14" s="9"/>
      <c r="BQ14" s="9"/>
      <c r="BR14" s="4"/>
      <c r="BS14" s="4"/>
      <c r="BT14" s="4"/>
      <c r="BU14" s="4"/>
      <c r="BX14" s="4"/>
      <c r="BY14" s="10"/>
      <c r="BZ14" s="4"/>
      <c r="CA14" s="4"/>
      <c r="CB14" s="4"/>
    </row>
    <row r="15" spans="1:80" ht="15" customHeight="1" x14ac:dyDescent="0.25">
      <c r="A15" s="61" t="s">
        <v>74</v>
      </c>
      <c r="B15" s="62" t="s">
        <v>75</v>
      </c>
      <c r="C15" s="63" t="s">
        <v>0</v>
      </c>
      <c r="D15" s="64" t="s">
        <v>66</v>
      </c>
      <c r="E15" s="63" t="s">
        <v>2</v>
      </c>
      <c r="F15" s="5" t="s">
        <v>61</v>
      </c>
      <c r="G15" s="7" t="s">
        <v>69</v>
      </c>
      <c r="H15" s="7" t="s">
        <v>700</v>
      </c>
      <c r="AR15" s="13"/>
      <c r="AS15" s="13"/>
      <c r="AT15" s="13"/>
      <c r="AU15" s="13"/>
      <c r="AV15" s="13"/>
      <c r="AW15" s="14"/>
      <c r="BF15" s="9"/>
      <c r="BG15" s="9"/>
      <c r="BH15" s="9"/>
      <c r="BJ15" s="9"/>
      <c r="BK15" s="9"/>
      <c r="BL15" s="9"/>
      <c r="BM15" s="9"/>
      <c r="BO15" s="9"/>
      <c r="BP15" s="9"/>
      <c r="BQ15" s="9"/>
      <c r="BV15" s="15"/>
      <c r="BW15" s="15"/>
      <c r="BY15" s="10"/>
    </row>
    <row r="16" spans="1:80" ht="15" customHeight="1" x14ac:dyDescent="0.25">
      <c r="A16" s="376">
        <v>43084</v>
      </c>
      <c r="B16" s="333" t="s">
        <v>14</v>
      </c>
      <c r="C16" s="322" t="s">
        <v>3153</v>
      </c>
      <c r="D16" s="16" t="s">
        <v>60</v>
      </c>
      <c r="E16" s="333" t="s">
        <v>2423</v>
      </c>
      <c r="F16" s="38">
        <v>43087</v>
      </c>
      <c r="G16" s="103">
        <v>35.56</v>
      </c>
      <c r="H16" s="398">
        <v>24</v>
      </c>
      <c r="AR16" s="13"/>
      <c r="AS16" s="13"/>
      <c r="AT16" s="13"/>
      <c r="AU16" s="13"/>
      <c r="AV16" s="13"/>
      <c r="AW16" s="14"/>
      <c r="BF16" s="9"/>
      <c r="BG16" s="9"/>
      <c r="BH16" s="9"/>
      <c r="BJ16" s="9"/>
      <c r="BK16" s="9"/>
      <c r="BL16" s="9"/>
      <c r="BM16" s="9"/>
      <c r="BO16" s="9"/>
      <c r="BP16" s="9"/>
      <c r="BQ16" s="9"/>
      <c r="BV16" s="15"/>
      <c r="BW16" s="15"/>
      <c r="BY16" s="10"/>
    </row>
    <row r="17" spans="1:80" ht="15" customHeight="1" x14ac:dyDescent="0.25">
      <c r="A17" s="376">
        <v>43084</v>
      </c>
      <c r="B17" s="333" t="s">
        <v>14</v>
      </c>
      <c r="C17" s="337" t="s">
        <v>3154</v>
      </c>
      <c r="D17" s="16" t="s">
        <v>60</v>
      </c>
      <c r="E17" s="328" t="s">
        <v>3155</v>
      </c>
      <c r="F17" s="38">
        <v>43045</v>
      </c>
      <c r="G17" s="103">
        <v>214.18</v>
      </c>
      <c r="H17" s="398">
        <v>71.150000000000006</v>
      </c>
      <c r="AR17" s="13"/>
      <c r="AS17" s="13"/>
      <c r="AT17" s="13"/>
      <c r="AU17" s="13"/>
      <c r="AV17" s="13"/>
      <c r="AW17" s="14"/>
      <c r="BF17" s="9"/>
      <c r="BG17" s="9"/>
      <c r="BH17" s="9"/>
      <c r="BJ17" s="9"/>
      <c r="BK17" s="9"/>
      <c r="BL17" s="9"/>
      <c r="BM17" s="9"/>
      <c r="BO17" s="9"/>
      <c r="BP17" s="9"/>
      <c r="BQ17" s="9"/>
      <c r="BV17" s="15"/>
      <c r="BW17" s="15"/>
      <c r="BY17" s="10"/>
    </row>
    <row r="18" spans="1:80" ht="15" customHeight="1" x14ac:dyDescent="0.25">
      <c r="A18" s="345"/>
      <c r="B18" s="333"/>
      <c r="C18" s="337"/>
      <c r="D18" s="16"/>
      <c r="E18" s="333"/>
      <c r="F18" s="38"/>
      <c r="G18" s="103"/>
      <c r="H18" s="398"/>
      <c r="AR18" s="13"/>
      <c r="AS18" s="13"/>
      <c r="AT18" s="13"/>
      <c r="AU18" s="13"/>
      <c r="AV18" s="13"/>
      <c r="AW18" s="14"/>
      <c r="BF18" s="9"/>
      <c r="BG18" s="9"/>
      <c r="BH18" s="9"/>
      <c r="BJ18" s="9"/>
      <c r="BK18" s="9"/>
      <c r="BL18" s="9"/>
      <c r="BM18" s="9"/>
      <c r="BO18" s="9"/>
      <c r="BP18" s="9"/>
      <c r="BQ18" s="9"/>
      <c r="BV18" s="15"/>
      <c r="BW18" s="15"/>
      <c r="BY18" s="10"/>
    </row>
    <row r="19" spans="1:80" ht="15" customHeight="1" x14ac:dyDescent="0.25">
      <c r="A19" s="345"/>
      <c r="B19" s="333"/>
      <c r="C19" s="30"/>
      <c r="D19" s="16"/>
      <c r="E19" s="399"/>
      <c r="F19" s="38"/>
      <c r="G19" s="339"/>
      <c r="H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V19" s="15"/>
      <c r="W19" s="15"/>
      <c r="X19" s="15"/>
      <c r="Y19" s="15"/>
      <c r="Z19" s="15"/>
      <c r="AE19" s="15"/>
      <c r="AF19" s="15"/>
      <c r="AG19" s="15"/>
      <c r="AH19" s="15"/>
      <c r="AI19" s="15"/>
      <c r="AJ19" s="15"/>
      <c r="AK19" s="15"/>
      <c r="AN19" s="15"/>
      <c r="AO19" s="15"/>
      <c r="AP19" s="15"/>
      <c r="AQ19" s="15"/>
      <c r="AR19" s="13"/>
      <c r="AS19" s="13"/>
      <c r="AT19" s="13"/>
      <c r="AU19" s="13"/>
      <c r="AV19" s="13"/>
      <c r="AW19" s="14"/>
      <c r="AY19" s="15"/>
      <c r="AZ19" s="15"/>
      <c r="BA19" s="15"/>
      <c r="BB19" s="15"/>
      <c r="BC19" s="15"/>
      <c r="BD19" s="15"/>
      <c r="BE19" s="15"/>
      <c r="BF19" s="9"/>
      <c r="BG19" s="9"/>
      <c r="BH19" s="9"/>
      <c r="BJ19" s="9"/>
      <c r="BK19" s="9"/>
      <c r="BL19" s="9"/>
      <c r="BM19" s="9"/>
      <c r="BO19" s="9"/>
      <c r="BP19" s="9"/>
      <c r="BQ19" s="9"/>
      <c r="BT19" s="15"/>
      <c r="BU19" s="15"/>
      <c r="BV19" s="15"/>
      <c r="BW19" s="15"/>
      <c r="BY19" s="10"/>
      <c r="BZ19" s="15"/>
      <c r="CA19" s="15"/>
      <c r="CB19" s="15"/>
    </row>
    <row r="20" spans="1:80" ht="15" customHeight="1" x14ac:dyDescent="0.25">
      <c r="A20" s="400"/>
      <c r="B20" s="401"/>
      <c r="C20" s="11"/>
      <c r="D20" s="12"/>
      <c r="E20" s="402"/>
      <c r="F20" s="403"/>
      <c r="G20" s="404"/>
      <c r="H20" s="40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V20" s="15"/>
      <c r="W20" s="15"/>
      <c r="X20" s="15"/>
      <c r="Y20" s="15"/>
      <c r="Z20" s="15"/>
      <c r="AE20" s="15"/>
      <c r="AF20" s="15"/>
      <c r="AG20" s="15"/>
      <c r="AH20" s="15"/>
      <c r="AI20" s="15"/>
      <c r="AJ20" s="15"/>
      <c r="AK20" s="15"/>
      <c r="AN20" s="15"/>
      <c r="AO20" s="15"/>
      <c r="AP20" s="15"/>
      <c r="AQ20" s="15"/>
      <c r="AR20" s="13"/>
      <c r="AS20" s="13"/>
      <c r="AT20" s="13"/>
      <c r="AU20" s="13"/>
      <c r="AV20" s="13"/>
      <c r="AW20" s="14"/>
      <c r="AY20" s="15"/>
      <c r="AZ20" s="15"/>
      <c r="BA20" s="15"/>
      <c r="BB20" s="15"/>
      <c r="BC20" s="15"/>
      <c r="BD20" s="15"/>
      <c r="BE20" s="15"/>
      <c r="BF20" s="9"/>
      <c r="BG20" s="9"/>
      <c r="BH20" s="9"/>
      <c r="BJ20" s="9"/>
      <c r="BK20" s="9"/>
      <c r="BL20" s="9"/>
      <c r="BM20" s="9"/>
      <c r="BO20" s="9"/>
      <c r="BP20" s="9"/>
      <c r="BQ20" s="9"/>
      <c r="BT20" s="15"/>
      <c r="BU20" s="15"/>
      <c r="BV20" s="15"/>
      <c r="BW20" s="15"/>
      <c r="BY20" s="10"/>
      <c r="BZ20" s="15"/>
      <c r="CA20" s="15"/>
      <c r="CB20" s="15"/>
    </row>
    <row r="21" spans="1:80" x14ac:dyDescent="0.25">
      <c r="C21" s="11"/>
      <c r="D21" s="12"/>
      <c r="E21" s="12"/>
      <c r="F21" s="12"/>
      <c r="G21" s="12"/>
      <c r="H21" s="12"/>
      <c r="AW21" s="14"/>
      <c r="AX21" s="15"/>
      <c r="BW21" s="15"/>
      <c r="BY21" s="10"/>
    </row>
    <row r="22" spans="1:80" ht="7.5" customHeight="1" x14ac:dyDescent="0.25">
      <c r="A22" s="40"/>
      <c r="B22" s="40"/>
      <c r="C22" s="40"/>
      <c r="D22" s="19"/>
      <c r="E22" s="19"/>
      <c r="F22" s="19"/>
      <c r="G22" s="19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2"/>
      <c r="AT22" s="22"/>
      <c r="AU22" s="22"/>
      <c r="AV22" s="22"/>
      <c r="AW22" s="23"/>
      <c r="AX22" s="20"/>
      <c r="AY22" s="21"/>
      <c r="AZ22" s="21"/>
      <c r="BA22" s="21"/>
      <c r="BB22" s="21"/>
      <c r="BC22" s="21"/>
      <c r="BD22" s="21"/>
      <c r="BE22" s="21"/>
      <c r="BF22" s="24"/>
      <c r="BG22" s="24"/>
      <c r="BH22" s="24"/>
      <c r="BI22" s="20"/>
      <c r="BJ22" s="24"/>
      <c r="BK22" s="24"/>
      <c r="BL22" s="24"/>
      <c r="BM22" s="24"/>
      <c r="BN22" s="20"/>
      <c r="BO22" s="24"/>
      <c r="BP22" s="24"/>
      <c r="BQ22" s="24"/>
      <c r="BR22" s="20"/>
      <c r="BS22" s="20"/>
      <c r="BT22" s="21"/>
      <c r="BU22" s="21"/>
      <c r="BV22" s="21"/>
      <c r="BW22" s="21"/>
      <c r="BX22" s="20"/>
      <c r="BY22" s="25"/>
      <c r="BZ22" s="21"/>
      <c r="CA22" s="15"/>
      <c r="CB22" s="15"/>
    </row>
    <row r="23" spans="1:80" ht="7.5" customHeight="1" x14ac:dyDescent="0.25">
      <c r="C23" s="11"/>
      <c r="D23" s="12"/>
      <c r="E23" s="12"/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V23" s="15"/>
      <c r="W23" s="15"/>
      <c r="X23" s="15"/>
      <c r="Y23" s="15"/>
      <c r="Z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3"/>
      <c r="AS23" s="13"/>
      <c r="AT23" s="13"/>
      <c r="AU23" s="13"/>
      <c r="AV23" s="13"/>
      <c r="AW23" s="14"/>
      <c r="AY23" s="15"/>
      <c r="AZ23" s="15"/>
      <c r="BA23" s="15"/>
      <c r="BB23" s="15"/>
      <c r="BC23" s="15"/>
      <c r="BD23" s="15"/>
      <c r="BE23" s="15"/>
      <c r="BF23" s="9"/>
      <c r="BG23" s="9"/>
      <c r="BH23" s="9"/>
      <c r="BJ23" s="9"/>
      <c r="BK23" s="9"/>
      <c r="BL23" s="9"/>
      <c r="BM23" s="9"/>
      <c r="BO23" s="9"/>
      <c r="BP23" s="9"/>
      <c r="BQ23" s="9"/>
      <c r="BT23" s="15"/>
      <c r="BU23" s="15"/>
      <c r="BV23" s="15"/>
      <c r="BW23" s="15"/>
      <c r="BY23" s="10"/>
      <c r="BZ23" s="15"/>
      <c r="CA23" s="15"/>
      <c r="CB23" s="15"/>
    </row>
    <row r="24" spans="1:80" ht="23.25" x14ac:dyDescent="0.25">
      <c r="C24" s="11"/>
      <c r="D24" s="12"/>
      <c r="E24" s="12"/>
      <c r="F24" s="42" t="s">
        <v>63</v>
      </c>
      <c r="H24" s="12"/>
      <c r="AW24" s="14"/>
      <c r="AX24" s="15"/>
      <c r="BW24" s="15"/>
      <c r="BY24" s="10"/>
    </row>
    <row r="25" spans="1:80" ht="16.5" customHeight="1" x14ac:dyDescent="0.25">
      <c r="C25" s="11"/>
      <c r="D25" s="12"/>
      <c r="E25" s="12"/>
      <c r="F25" s="12"/>
      <c r="G25" s="18"/>
      <c r="H25" s="12"/>
      <c r="AW25" s="14"/>
      <c r="AX25" s="15"/>
      <c r="BW25" s="15"/>
      <c r="BY25" s="10"/>
    </row>
    <row r="26" spans="1:80" s="11" customFormat="1" ht="30" x14ac:dyDescent="0.25">
      <c r="A26" s="61" t="s">
        <v>74</v>
      </c>
      <c r="B26" s="62" t="s">
        <v>75</v>
      </c>
      <c r="C26" s="63" t="s">
        <v>0</v>
      </c>
      <c r="D26" s="64" t="s">
        <v>66</v>
      </c>
      <c r="E26" s="63" t="s">
        <v>2</v>
      </c>
      <c r="F26" s="417" t="s">
        <v>62</v>
      </c>
      <c r="G26" s="417" t="s">
        <v>3131</v>
      </c>
      <c r="H26" s="417" t="s">
        <v>712</v>
      </c>
      <c r="I26" s="46"/>
      <c r="J26" s="6"/>
      <c r="K26" s="4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13"/>
      <c r="AS26" s="13"/>
      <c r="AT26" s="13"/>
      <c r="AU26" s="13"/>
      <c r="AV26" s="13"/>
      <c r="AW26" s="14"/>
      <c r="AX26" s="15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15"/>
      <c r="BX26" s="4"/>
      <c r="BY26" s="4"/>
      <c r="BZ26" s="4"/>
      <c r="CA26" s="4"/>
      <c r="CB26" s="4"/>
    </row>
    <row r="27" spans="1:80" s="11" customFormat="1" x14ac:dyDescent="0.25">
      <c r="A27" s="376">
        <v>43084</v>
      </c>
      <c r="B27" s="333" t="s">
        <v>14</v>
      </c>
      <c r="C27" s="371" t="s">
        <v>3144</v>
      </c>
      <c r="D27" s="317" t="s">
        <v>60</v>
      </c>
      <c r="E27" s="328" t="s">
        <v>3156</v>
      </c>
      <c r="F27" s="318" t="s">
        <v>73</v>
      </c>
      <c r="G27" s="337" t="s">
        <v>3128</v>
      </c>
      <c r="H27" s="3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80" s="11" customFormat="1" x14ac:dyDescent="0.25">
      <c r="A28" s="376">
        <v>43084</v>
      </c>
      <c r="B28" s="333" t="s">
        <v>14</v>
      </c>
      <c r="C28" s="371" t="s">
        <v>3130</v>
      </c>
      <c r="D28" s="317" t="s">
        <v>60</v>
      </c>
      <c r="E28" s="328" t="s">
        <v>3145</v>
      </c>
      <c r="F28" s="318" t="s">
        <v>73</v>
      </c>
      <c r="G28" s="337" t="s">
        <v>3128</v>
      </c>
      <c r="H28" s="31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80" s="11" customFormat="1" x14ac:dyDescent="0.25">
      <c r="A29" s="376">
        <v>43084</v>
      </c>
      <c r="B29" s="333" t="s">
        <v>14</v>
      </c>
      <c r="C29" s="371" t="s">
        <v>3129</v>
      </c>
      <c r="D29" s="317" t="s">
        <v>60</v>
      </c>
      <c r="E29" s="328" t="s">
        <v>3080</v>
      </c>
      <c r="F29" s="318" t="s">
        <v>73</v>
      </c>
      <c r="G29" s="337" t="s">
        <v>3128</v>
      </c>
      <c r="H29" s="31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80" s="11" customFormat="1" x14ac:dyDescent="0.25">
      <c r="A30" s="376">
        <v>43084</v>
      </c>
      <c r="B30" s="333" t="s">
        <v>14</v>
      </c>
      <c r="C30" s="371" t="s">
        <v>3146</v>
      </c>
      <c r="D30" s="317" t="s">
        <v>60</v>
      </c>
      <c r="E30" s="328" t="s">
        <v>3147</v>
      </c>
      <c r="F30" s="318" t="s">
        <v>3148</v>
      </c>
      <c r="G30" s="337" t="s">
        <v>3128</v>
      </c>
      <c r="H30" s="3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80" s="11" customFormat="1" x14ac:dyDescent="0.25">
      <c r="A31" s="376">
        <v>43084</v>
      </c>
      <c r="B31" s="333" t="s">
        <v>14</v>
      </c>
      <c r="C31" s="371" t="s">
        <v>3149</v>
      </c>
      <c r="D31" s="317" t="s">
        <v>60</v>
      </c>
      <c r="E31" s="328" t="s">
        <v>3145</v>
      </c>
      <c r="F31" s="318" t="s">
        <v>73</v>
      </c>
      <c r="G31" s="337" t="s">
        <v>3128</v>
      </c>
      <c r="H31" s="3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80" s="11" customFormat="1" x14ac:dyDescent="0.25">
      <c r="A32" s="376">
        <v>43084</v>
      </c>
      <c r="B32" s="333" t="s">
        <v>14</v>
      </c>
      <c r="C32" s="371" t="s">
        <v>3150</v>
      </c>
      <c r="D32" s="317" t="s">
        <v>60</v>
      </c>
      <c r="E32" s="328" t="s">
        <v>3080</v>
      </c>
      <c r="F32" s="318" t="s">
        <v>73</v>
      </c>
      <c r="G32" s="337" t="s">
        <v>3128</v>
      </c>
      <c r="H32" s="31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376">
        <v>43084</v>
      </c>
      <c r="B33" s="333" t="s">
        <v>14</v>
      </c>
      <c r="C33" s="422">
        <v>159</v>
      </c>
      <c r="D33" s="317" t="s">
        <v>60</v>
      </c>
      <c r="E33" s="328" t="s">
        <v>3157</v>
      </c>
      <c r="F33" s="318" t="s">
        <v>73</v>
      </c>
      <c r="G33" s="337" t="s">
        <v>3128</v>
      </c>
      <c r="H33" s="31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376">
        <v>43084</v>
      </c>
      <c r="B34" s="333" t="s">
        <v>14</v>
      </c>
      <c r="C34" s="422" t="s">
        <v>3151</v>
      </c>
      <c r="D34" s="317" t="s">
        <v>60</v>
      </c>
      <c r="E34" s="328" t="s">
        <v>3157</v>
      </c>
      <c r="F34" s="318" t="s">
        <v>73</v>
      </c>
      <c r="G34" s="337" t="s">
        <v>3128</v>
      </c>
      <c r="H34" s="31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376">
        <v>43084</v>
      </c>
      <c r="B35" s="333" t="s">
        <v>14</v>
      </c>
      <c r="C35" s="422">
        <v>2760</v>
      </c>
      <c r="D35" s="317" t="s">
        <v>60</v>
      </c>
      <c r="E35" s="423" t="s">
        <v>3152</v>
      </c>
      <c r="F35" s="318" t="s">
        <v>73</v>
      </c>
      <c r="G35" s="337" t="s">
        <v>3128</v>
      </c>
      <c r="H35" s="31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11" customFormat="1" x14ac:dyDescent="0.25">
      <c r="A36" s="376"/>
      <c r="B36" s="333"/>
      <c r="C36" s="371"/>
      <c r="D36" s="317"/>
      <c r="E36" s="328"/>
      <c r="F36" s="318"/>
      <c r="G36" s="337"/>
      <c r="H36" s="31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1" customFormat="1" x14ac:dyDescent="0.25">
      <c r="A37" s="376"/>
      <c r="B37" s="333"/>
      <c r="C37" s="371"/>
      <c r="D37" s="317"/>
      <c r="E37" s="328"/>
      <c r="F37" s="318"/>
      <c r="G37" s="337"/>
      <c r="H37" s="31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11" customFormat="1" x14ac:dyDescent="0.25">
      <c r="A38" s="376"/>
      <c r="B38" s="333"/>
      <c r="C38" s="371"/>
      <c r="D38" s="317"/>
      <c r="E38" s="328"/>
      <c r="F38" s="318"/>
      <c r="G38" s="337"/>
      <c r="H38" s="31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x14ac:dyDescent="0.25">
      <c r="A39" s="376"/>
      <c r="B39" s="333"/>
      <c r="C39" s="371"/>
      <c r="D39" s="317"/>
      <c r="E39" s="328"/>
      <c r="F39" s="318"/>
      <c r="G39" s="337"/>
      <c r="H39" s="31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s="11" customFormat="1" x14ac:dyDescent="0.25">
      <c r="A40" s="376"/>
      <c r="B40" s="333"/>
      <c r="C40" s="371"/>
      <c r="D40" s="317"/>
      <c r="E40" s="328"/>
      <c r="F40" s="318"/>
      <c r="G40" s="337"/>
      <c r="H40" s="3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11" customFormat="1" x14ac:dyDescent="0.25">
      <c r="A41" s="376"/>
      <c r="B41" s="333"/>
      <c r="C41" s="371"/>
      <c r="D41" s="317"/>
      <c r="E41" s="328"/>
      <c r="F41" s="318"/>
      <c r="G41" s="337"/>
      <c r="H41" s="31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s="11" customFormat="1" x14ac:dyDescent="0.25">
      <c r="A42" s="376"/>
      <c r="B42" s="333"/>
      <c r="C42" s="371"/>
      <c r="D42" s="317"/>
      <c r="E42" s="328"/>
      <c r="F42" s="318"/>
      <c r="G42" s="337"/>
      <c r="H42" s="31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s="11" customFormat="1" x14ac:dyDescent="0.25">
      <c r="A43" s="376"/>
      <c r="B43" s="333"/>
      <c r="C43" s="371"/>
      <c r="D43" s="317"/>
      <c r="E43" s="328"/>
      <c r="F43" s="318"/>
      <c r="G43" s="337"/>
      <c r="H43" s="31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s="11" customFormat="1" x14ac:dyDescent="0.25">
      <c r="A44" s="376"/>
      <c r="B44" s="333"/>
      <c r="C44" s="371"/>
      <c r="D44" s="317"/>
      <c r="E44" s="328"/>
      <c r="F44" s="318"/>
      <c r="G44" s="337"/>
      <c r="H44" s="31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s="11" customFormat="1" x14ac:dyDescent="0.25">
      <c r="A45" s="376"/>
      <c r="B45" s="333"/>
      <c r="C45" s="371"/>
      <c r="D45" s="317"/>
      <c r="E45" s="328"/>
      <c r="F45" s="318"/>
      <c r="G45" s="337"/>
      <c r="H45" s="31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s="11" customFormat="1" x14ac:dyDescent="0.25">
      <c r="A46" s="376"/>
      <c r="B46" s="333"/>
      <c r="C46" s="371"/>
      <c r="D46" s="317"/>
      <c r="E46" s="328"/>
      <c r="F46" s="318"/>
      <c r="G46" s="337"/>
      <c r="H46" s="31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s="11" customFormat="1" x14ac:dyDescent="0.25">
      <c r="A47" s="376"/>
      <c r="B47" s="333"/>
      <c r="C47" s="371"/>
      <c r="D47" s="317"/>
      <c r="E47" s="328"/>
      <c r="F47" s="318"/>
      <c r="G47" s="337"/>
      <c r="H47" s="3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s="11" customFormat="1" x14ac:dyDescent="0.25">
      <c r="A48" s="376"/>
      <c r="B48" s="333"/>
      <c r="C48" s="371"/>
      <c r="D48" s="317"/>
      <c r="E48" s="328"/>
      <c r="F48" s="318"/>
      <c r="G48" s="337"/>
      <c r="H48" s="31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s="11" customFormat="1" x14ac:dyDescent="0.25">
      <c r="A49" s="376"/>
      <c r="B49" s="333"/>
      <c r="C49" s="371"/>
      <c r="D49" s="317"/>
      <c r="E49" s="328"/>
      <c r="F49" s="318"/>
      <c r="G49" s="337"/>
      <c r="H49" s="31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s="11" customFormat="1" x14ac:dyDescent="0.25">
      <c r="A50" s="376"/>
      <c r="B50" s="333"/>
      <c r="C50" s="371"/>
      <c r="D50" s="317"/>
      <c r="E50" s="328"/>
      <c r="F50" s="318"/>
      <c r="G50" s="337"/>
      <c r="H50" s="3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s="11" customFormat="1" x14ac:dyDescent="0.25">
      <c r="A51" s="376"/>
      <c r="B51" s="333"/>
      <c r="C51" s="371"/>
      <c r="D51" s="317"/>
      <c r="E51" s="328"/>
      <c r="F51" s="318"/>
      <c r="G51" s="337"/>
      <c r="H51" s="31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s="11" customFormat="1" x14ac:dyDescent="0.25">
      <c r="A52" s="376"/>
      <c r="B52" s="333"/>
      <c r="C52" s="371"/>
      <c r="D52" s="317"/>
      <c r="E52" s="328"/>
      <c r="F52" s="318"/>
      <c r="G52" s="337"/>
      <c r="H52" s="3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s="11" customFormat="1" x14ac:dyDescent="0.25">
      <c r="A53" s="376"/>
      <c r="B53" s="333"/>
      <c r="C53" s="206"/>
      <c r="D53" s="317"/>
      <c r="E53" s="328"/>
      <c r="F53" s="372"/>
      <c r="G53" s="337"/>
      <c r="H53" s="3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s="11" customFormat="1" x14ac:dyDescent="0.25">
      <c r="A54" s="376"/>
      <c r="B54" s="333"/>
      <c r="C54" s="206"/>
      <c r="D54" s="317"/>
      <c r="E54" s="328"/>
      <c r="F54" s="372"/>
      <c r="G54" s="337"/>
      <c r="H54" s="31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</sheetData>
  <mergeCells count="10">
    <mergeCell ref="A4:F4"/>
    <mergeCell ref="G4:T4"/>
    <mergeCell ref="U4:AQ4"/>
    <mergeCell ref="AR4:AW4"/>
    <mergeCell ref="AX4:AY4"/>
    <mergeCell ref="BF4:BJ4"/>
    <mergeCell ref="BK4:BO4"/>
    <mergeCell ref="BP4:BY4"/>
    <mergeCell ref="BF6:BJ6"/>
    <mergeCell ref="AZ4:BE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J328"/>
  <sheetViews>
    <sheetView showGridLines="0"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2" width="17.85546875" style="4" customWidth="1"/>
    <col min="3" max="3" width="12.28515625" style="15" bestFit="1" customWidth="1"/>
    <col min="4" max="4" width="8.7109375" style="15" bestFit="1" customWidth="1"/>
    <col min="5" max="5" width="29.7109375" style="4" customWidth="1"/>
    <col min="6" max="6" width="53.85546875" style="11" customWidth="1"/>
    <col min="7" max="7" width="30.2851562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customWidth="1"/>
    <col min="33" max="33" width="10.28515625" style="4" customWidth="1"/>
    <col min="34" max="34" width="15.5703125" style="4" customWidth="1"/>
    <col min="35" max="35" width="7.7109375" style="4" customWidth="1"/>
    <col min="36" max="36" width="10.5703125" style="4" customWidth="1"/>
    <col min="37" max="37" width="8.28515625" style="4" customWidth="1"/>
    <col min="38" max="39" width="9.28515625" style="4" customWidth="1"/>
    <col min="40" max="41" width="14.140625" style="4" customWidth="1"/>
    <col min="42" max="43" width="11" style="4" customWidth="1"/>
    <col min="44" max="49" width="9.140625" style="4" customWidth="1"/>
    <col min="50" max="50" width="14.85546875" style="4" customWidth="1"/>
    <col min="51" max="51" width="17.140625" style="4" customWidth="1"/>
    <col min="52" max="52" width="7" style="4" customWidth="1"/>
    <col min="53" max="53" width="6.5703125" style="4" customWidth="1"/>
    <col min="54" max="54" width="6.85546875" style="4" customWidth="1"/>
    <col min="55" max="55" width="5.5703125" style="4" customWidth="1"/>
    <col min="56" max="56" width="6.85546875" style="4" customWidth="1"/>
    <col min="57" max="57" width="5.5703125" style="4" customWidth="1"/>
    <col min="58" max="58" width="11.85546875" style="4" customWidth="1"/>
    <col min="59" max="59" width="9" style="4" customWidth="1"/>
    <col min="60" max="60" width="6.85546875" style="4" customWidth="1"/>
    <col min="61" max="61" width="6.7109375" style="4" customWidth="1"/>
    <col min="62" max="62" width="7.5703125" style="4" customWidth="1"/>
    <col min="63" max="63" width="7" style="4" customWidth="1"/>
    <col min="64" max="64" width="20.140625" style="4" customWidth="1"/>
    <col min="65" max="65" width="6.85546875" style="4" customWidth="1"/>
    <col min="66" max="66" width="5.5703125" style="4" customWidth="1"/>
    <col min="67" max="69" width="7.5703125" style="4" customWidth="1"/>
    <col min="70" max="70" width="17.85546875" style="4" customWidth="1"/>
    <col min="71" max="71" width="10.42578125" style="4" customWidth="1"/>
    <col min="72" max="72" width="12" style="4" customWidth="1"/>
    <col min="73" max="74" width="14.42578125" style="4" customWidth="1"/>
    <col min="75" max="75" width="13.28515625" style="4" customWidth="1"/>
    <col min="76" max="76" width="16.28515625" style="4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16384" width="9.140625" style="4"/>
  </cols>
  <sheetData>
    <row r="1" spans="1:80" ht="23.25" x14ac:dyDescent="0.25">
      <c r="C1" s="117"/>
      <c r="F1" s="2" t="s">
        <v>785</v>
      </c>
    </row>
    <row r="2" spans="1:80" ht="23.25" x14ac:dyDescent="0.25">
      <c r="F2" s="118" t="s">
        <v>3135</v>
      </c>
      <c r="H2" s="2"/>
      <c r="I2" s="3"/>
    </row>
    <row r="3" spans="1:80" ht="20.25" x14ac:dyDescent="0.25">
      <c r="F3" s="119"/>
    </row>
    <row r="4" spans="1:80" ht="20.25" x14ac:dyDescent="0.25">
      <c r="F4" s="31"/>
    </row>
    <row r="5" spans="1:80" ht="15.75" customHeight="1" x14ac:dyDescent="0.25">
      <c r="A5" s="437" t="s">
        <v>17</v>
      </c>
      <c r="B5" s="437"/>
      <c r="C5" s="437"/>
      <c r="D5" s="437"/>
      <c r="E5" s="437"/>
      <c r="F5" s="437"/>
      <c r="G5" s="470" t="s">
        <v>15</v>
      </c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2"/>
      <c r="U5" s="473" t="s">
        <v>16</v>
      </c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5"/>
      <c r="AR5" s="444" t="s">
        <v>67</v>
      </c>
      <c r="AS5" s="445"/>
      <c r="AT5" s="445"/>
      <c r="AU5" s="445"/>
      <c r="AV5" s="445"/>
      <c r="AW5" s="446"/>
      <c r="AX5" s="476" t="s">
        <v>19</v>
      </c>
      <c r="AY5" s="477"/>
      <c r="AZ5" s="481" t="s">
        <v>70</v>
      </c>
      <c r="BA5" s="482"/>
      <c r="BB5" s="482"/>
      <c r="BC5" s="482"/>
      <c r="BD5" s="482"/>
      <c r="BE5" s="483"/>
      <c r="BF5" s="424" t="s">
        <v>21</v>
      </c>
      <c r="BG5" s="425"/>
      <c r="BH5" s="425"/>
      <c r="BI5" s="425"/>
      <c r="BJ5" s="426"/>
      <c r="BK5" s="427" t="s">
        <v>27</v>
      </c>
      <c r="BL5" s="428"/>
      <c r="BM5" s="428"/>
      <c r="BN5" s="428"/>
      <c r="BO5" s="429"/>
      <c r="BP5" s="430" t="s">
        <v>33</v>
      </c>
      <c r="BQ5" s="431"/>
      <c r="BR5" s="431"/>
      <c r="BS5" s="431"/>
      <c r="BT5" s="431"/>
      <c r="BU5" s="431"/>
      <c r="BV5" s="431"/>
      <c r="BW5" s="431"/>
      <c r="BX5" s="431"/>
      <c r="BY5" s="432"/>
    </row>
    <row r="6" spans="1:80" ht="30" x14ac:dyDescent="0.25">
      <c r="A6" s="61" t="s">
        <v>74</v>
      </c>
      <c r="B6" s="62" t="s">
        <v>75</v>
      </c>
      <c r="C6" s="63" t="s">
        <v>0</v>
      </c>
      <c r="D6" s="64" t="s">
        <v>66</v>
      </c>
      <c r="E6" s="63" t="s">
        <v>2</v>
      </c>
      <c r="F6" s="65" t="s">
        <v>1</v>
      </c>
      <c r="G6" s="120" t="s">
        <v>3</v>
      </c>
      <c r="H6" s="120" t="s">
        <v>7</v>
      </c>
      <c r="I6" s="120" t="s">
        <v>4</v>
      </c>
      <c r="J6" s="120" t="s">
        <v>6</v>
      </c>
      <c r="K6" s="120" t="s">
        <v>5</v>
      </c>
      <c r="L6" s="120" t="s">
        <v>54</v>
      </c>
      <c r="M6" s="120" t="s">
        <v>52</v>
      </c>
      <c r="N6" s="120" t="s">
        <v>55</v>
      </c>
      <c r="O6" s="120" t="s">
        <v>56</v>
      </c>
      <c r="P6" s="120" t="s">
        <v>57</v>
      </c>
      <c r="Q6" s="120" t="s">
        <v>58</v>
      </c>
      <c r="R6" s="120" t="s">
        <v>59</v>
      </c>
      <c r="S6" s="120" t="s">
        <v>64</v>
      </c>
      <c r="T6" s="120" t="s">
        <v>59</v>
      </c>
      <c r="U6" s="121" t="s">
        <v>8</v>
      </c>
      <c r="V6" s="121" t="s">
        <v>46</v>
      </c>
      <c r="W6" s="121" t="s">
        <v>9</v>
      </c>
      <c r="X6" s="121" t="s">
        <v>35</v>
      </c>
      <c r="Y6" s="121" t="s">
        <v>10</v>
      </c>
      <c r="Z6" s="121" t="s">
        <v>47</v>
      </c>
      <c r="AA6" s="121" t="s">
        <v>11</v>
      </c>
      <c r="AB6" s="121" t="s">
        <v>51</v>
      </c>
      <c r="AC6" s="121" t="s">
        <v>12</v>
      </c>
      <c r="AD6" s="121" t="s">
        <v>50</v>
      </c>
      <c r="AE6" s="121" t="s">
        <v>48</v>
      </c>
      <c r="AF6" s="59" t="s">
        <v>784</v>
      </c>
      <c r="AG6" s="121" t="s">
        <v>14</v>
      </c>
      <c r="AH6" s="121" t="s">
        <v>36</v>
      </c>
      <c r="AI6" s="121" t="s">
        <v>786</v>
      </c>
      <c r="AJ6" s="121" t="s">
        <v>49</v>
      </c>
      <c r="AK6" s="121" t="s">
        <v>45</v>
      </c>
      <c r="AL6" s="121" t="s">
        <v>37</v>
      </c>
      <c r="AM6" s="121" t="s">
        <v>68</v>
      </c>
      <c r="AN6" s="121" t="s">
        <v>38</v>
      </c>
      <c r="AO6" s="121" t="s">
        <v>699</v>
      </c>
      <c r="AP6" s="121" t="s">
        <v>39</v>
      </c>
      <c r="AQ6" s="121" t="s">
        <v>13</v>
      </c>
      <c r="AR6" s="100" t="s">
        <v>20</v>
      </c>
      <c r="AS6" s="101" t="s">
        <v>713</v>
      </c>
      <c r="AT6" s="102" t="s">
        <v>714</v>
      </c>
      <c r="AU6" s="102" t="s">
        <v>715</v>
      </c>
      <c r="AV6" s="102" t="s">
        <v>716</v>
      </c>
      <c r="AW6" s="102" t="s">
        <v>717</v>
      </c>
      <c r="AX6" s="122" t="s">
        <v>18</v>
      </c>
      <c r="AY6" s="122" t="s">
        <v>53</v>
      </c>
      <c r="AZ6" s="123" t="s">
        <v>22</v>
      </c>
      <c r="BA6" s="123" t="s">
        <v>23</v>
      </c>
      <c r="BB6" s="123" t="s">
        <v>24</v>
      </c>
      <c r="BC6" s="123" t="s">
        <v>71</v>
      </c>
      <c r="BD6" s="123" t="s">
        <v>24</v>
      </c>
      <c r="BE6" s="123" t="s">
        <v>72</v>
      </c>
      <c r="BF6" s="124" t="s">
        <v>22</v>
      </c>
      <c r="BG6" s="124" t="s">
        <v>23</v>
      </c>
      <c r="BH6" s="124" t="s">
        <v>24</v>
      </c>
      <c r="BI6" s="124" t="s">
        <v>25</v>
      </c>
      <c r="BJ6" s="124" t="s">
        <v>26</v>
      </c>
      <c r="BK6" s="125" t="s">
        <v>22</v>
      </c>
      <c r="BL6" s="125" t="s">
        <v>23</v>
      </c>
      <c r="BM6" s="125" t="s">
        <v>24</v>
      </c>
      <c r="BN6" s="125" t="s">
        <v>25</v>
      </c>
      <c r="BO6" s="125" t="s">
        <v>26</v>
      </c>
      <c r="BP6" s="373" t="s">
        <v>2956</v>
      </c>
      <c r="BQ6" s="373" t="s">
        <v>2957</v>
      </c>
      <c r="BR6" s="126" t="s">
        <v>44</v>
      </c>
      <c r="BS6" s="126" t="s">
        <v>28</v>
      </c>
      <c r="BT6" s="126" t="s">
        <v>29</v>
      </c>
      <c r="BU6" s="126" t="s">
        <v>30</v>
      </c>
      <c r="BV6" s="126" t="s">
        <v>31</v>
      </c>
      <c r="BW6" s="126" t="s">
        <v>32</v>
      </c>
      <c r="BX6" s="126" t="s">
        <v>34</v>
      </c>
      <c r="BY6" s="126" t="s">
        <v>43</v>
      </c>
      <c r="BZ6" s="8" t="s">
        <v>40</v>
      </c>
      <c r="CA6" s="8" t="s">
        <v>41</v>
      </c>
      <c r="CB6" s="8" t="s">
        <v>42</v>
      </c>
    </row>
    <row r="7" spans="1:80" s="316" customFormat="1" ht="30" customHeight="1" x14ac:dyDescent="0.25">
      <c r="A7" s="376">
        <v>43084</v>
      </c>
      <c r="B7" s="333" t="s">
        <v>14</v>
      </c>
      <c r="C7" s="332" t="s">
        <v>3132</v>
      </c>
      <c r="D7" s="229" t="s">
        <v>60</v>
      </c>
      <c r="E7" s="229" t="s">
        <v>3136</v>
      </c>
      <c r="F7" s="30" t="s">
        <v>3133</v>
      </c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159">
        <v>336.6</v>
      </c>
      <c r="AS7" s="409" t="s">
        <v>1158</v>
      </c>
      <c r="AT7" s="409" t="s">
        <v>1158</v>
      </c>
      <c r="AU7" s="409" t="s">
        <v>1158</v>
      </c>
      <c r="AV7" s="409" t="s">
        <v>1158</v>
      </c>
      <c r="AW7" s="409" t="s">
        <v>1158</v>
      </c>
      <c r="AX7" s="410" t="s">
        <v>3134</v>
      </c>
      <c r="AY7" s="416">
        <v>10038568745436</v>
      </c>
      <c r="AZ7" s="327"/>
      <c r="BA7" s="327"/>
      <c r="BB7" s="327"/>
      <c r="BC7" s="281">
        <v>17.61</v>
      </c>
      <c r="BD7" s="281">
        <v>23.5</v>
      </c>
      <c r="BE7" s="384"/>
      <c r="BF7" s="433" t="s">
        <v>1236</v>
      </c>
      <c r="BG7" s="434"/>
      <c r="BH7" s="434"/>
      <c r="BI7" s="434"/>
      <c r="BJ7" s="435"/>
      <c r="BK7" s="334">
        <v>19</v>
      </c>
      <c r="BL7" s="334">
        <v>18.62</v>
      </c>
      <c r="BM7" s="334">
        <v>24.5</v>
      </c>
      <c r="BN7" s="380">
        <v>0.1993</v>
      </c>
      <c r="BO7" s="334">
        <v>1.5</v>
      </c>
      <c r="BP7" s="334">
        <v>26</v>
      </c>
      <c r="BQ7" s="380">
        <v>27.5</v>
      </c>
      <c r="BR7" s="334" t="s">
        <v>733</v>
      </c>
      <c r="BS7" s="317">
        <v>1</v>
      </c>
      <c r="BT7" s="240">
        <v>4</v>
      </c>
      <c r="BU7" s="240">
        <v>2</v>
      </c>
      <c r="BV7" s="334">
        <v>8</v>
      </c>
      <c r="BW7" s="317">
        <v>270</v>
      </c>
      <c r="BX7" s="334" t="s">
        <v>890</v>
      </c>
      <c r="BY7" s="154" t="s">
        <v>783</v>
      </c>
      <c r="BZ7" s="331"/>
      <c r="CA7" s="331"/>
      <c r="CB7" s="236"/>
    </row>
    <row r="8" spans="1:80" x14ac:dyDescent="0.25">
      <c r="A8" s="376">
        <v>43084</v>
      </c>
      <c r="B8" s="333" t="s">
        <v>14</v>
      </c>
      <c r="C8" s="229" t="s">
        <v>3137</v>
      </c>
      <c r="D8" s="229" t="s">
        <v>60</v>
      </c>
      <c r="E8" s="229" t="s">
        <v>3138</v>
      </c>
      <c r="F8" s="211" t="s">
        <v>3139</v>
      </c>
      <c r="G8" s="328" t="s">
        <v>984</v>
      </c>
      <c r="H8" s="413">
        <v>4679981</v>
      </c>
      <c r="I8" s="419"/>
      <c r="J8" s="419"/>
      <c r="K8" s="419"/>
      <c r="L8" s="320"/>
      <c r="M8" s="320"/>
      <c r="N8" s="320"/>
      <c r="O8" s="320"/>
      <c r="P8" s="320"/>
      <c r="Q8" s="320"/>
      <c r="R8" s="320"/>
      <c r="S8" s="320"/>
      <c r="T8" s="320"/>
      <c r="U8" s="420" t="s">
        <v>3140</v>
      </c>
      <c r="V8" s="324"/>
      <c r="W8" s="319"/>
      <c r="X8" s="324"/>
      <c r="Y8" s="322" t="s">
        <v>3141</v>
      </c>
      <c r="Z8" s="324"/>
      <c r="AA8" s="319" t="s">
        <v>3142</v>
      </c>
      <c r="AB8" s="419"/>
      <c r="AC8" s="419"/>
      <c r="AD8" s="328"/>
      <c r="AE8" s="419"/>
      <c r="AF8" s="419"/>
      <c r="AG8" s="419"/>
      <c r="AH8" s="419"/>
      <c r="AI8" s="419"/>
      <c r="AJ8" s="419"/>
      <c r="AK8" s="419"/>
      <c r="AL8" s="322"/>
      <c r="AM8" s="419"/>
      <c r="AN8" s="419"/>
      <c r="AO8" s="419"/>
      <c r="AP8" s="419"/>
      <c r="AQ8" s="419">
        <v>33740</v>
      </c>
      <c r="AR8" s="159">
        <v>32.909999999999997</v>
      </c>
      <c r="AS8" s="330">
        <v>0.5</v>
      </c>
      <c r="AT8" s="330">
        <v>0.55000000000000004</v>
      </c>
      <c r="AU8" s="330">
        <v>0.35</v>
      </c>
      <c r="AV8" s="409" t="s">
        <v>1158</v>
      </c>
      <c r="AW8" s="409" t="s">
        <v>1158</v>
      </c>
      <c r="AX8" s="196" t="s">
        <v>3143</v>
      </c>
      <c r="AY8" s="408">
        <v>10038568744613</v>
      </c>
      <c r="AZ8" s="327"/>
      <c r="BA8" s="327"/>
      <c r="BB8" s="327"/>
      <c r="BC8" s="418">
        <v>3.72</v>
      </c>
      <c r="BD8" s="418">
        <v>8.0299999999999994</v>
      </c>
      <c r="BE8" s="384"/>
      <c r="BF8" s="421">
        <v>4.13</v>
      </c>
      <c r="BG8" s="421">
        <v>4.13</v>
      </c>
      <c r="BH8" s="421">
        <v>8.66</v>
      </c>
      <c r="BI8" s="421">
        <v>0.1169</v>
      </c>
      <c r="BJ8" s="421">
        <v>0.12</v>
      </c>
      <c r="BK8" s="163">
        <v>12.91</v>
      </c>
      <c r="BL8" s="163">
        <v>9.17</v>
      </c>
      <c r="BM8" s="163">
        <v>9.0500000000000007</v>
      </c>
      <c r="BN8" s="163">
        <f>(BK8*BL8*BM8)/1728</f>
        <v>0.62001246238425922</v>
      </c>
      <c r="BO8" s="379">
        <v>1.1200000000000001</v>
      </c>
      <c r="BP8" s="380">
        <v>0.5</v>
      </c>
      <c r="BQ8" s="380">
        <f>(BJ8*6)+BO8+BP8</f>
        <v>2.34</v>
      </c>
      <c r="BR8" s="334" t="s">
        <v>3083</v>
      </c>
      <c r="BS8" s="334">
        <v>6</v>
      </c>
      <c r="BT8" s="334">
        <v>12</v>
      </c>
      <c r="BU8" s="334">
        <v>5</v>
      </c>
      <c r="BV8" s="334">
        <v>60</v>
      </c>
      <c r="BW8" s="317">
        <f>(60*2.34)+50</f>
        <v>190.39999999999998</v>
      </c>
      <c r="BX8" s="334" t="s">
        <v>743</v>
      </c>
      <c r="BY8" s="154" t="s">
        <v>735</v>
      </c>
    </row>
    <row r="9" spans="1:80" s="316" customFormat="1" ht="30" x14ac:dyDescent="0.25">
      <c r="A9" s="376">
        <v>43035</v>
      </c>
      <c r="B9" s="229" t="s">
        <v>14</v>
      </c>
      <c r="C9" s="337" t="s">
        <v>3115</v>
      </c>
      <c r="D9" s="229" t="s">
        <v>60</v>
      </c>
      <c r="E9" s="229" t="s">
        <v>3080</v>
      </c>
      <c r="F9" s="30" t="s">
        <v>3116</v>
      </c>
      <c r="G9" s="316" t="s">
        <v>3117</v>
      </c>
      <c r="H9" s="317" t="s">
        <v>3118</v>
      </c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 t="s">
        <v>3119</v>
      </c>
      <c r="V9" s="317"/>
      <c r="W9" s="317"/>
      <c r="X9" s="317"/>
      <c r="Y9" s="317" t="s">
        <v>3120</v>
      </c>
      <c r="Z9" s="317"/>
      <c r="AA9" s="317" t="s">
        <v>3121</v>
      </c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159">
        <v>33.47</v>
      </c>
      <c r="AS9" s="409" t="s">
        <v>1158</v>
      </c>
      <c r="AT9" s="409" t="s">
        <v>1158</v>
      </c>
      <c r="AU9" s="409" t="s">
        <v>1158</v>
      </c>
      <c r="AV9" s="409" t="s">
        <v>1158</v>
      </c>
      <c r="AW9" s="409" t="s">
        <v>1158</v>
      </c>
      <c r="AX9" s="410" t="s">
        <v>3126</v>
      </c>
      <c r="AY9" s="416">
        <v>10038568745337</v>
      </c>
      <c r="AZ9" s="327"/>
      <c r="BA9" s="327"/>
      <c r="BB9" s="327"/>
      <c r="BC9" s="281">
        <v>7.29</v>
      </c>
      <c r="BD9" s="281">
        <v>13.94</v>
      </c>
      <c r="BE9" s="384"/>
      <c r="BF9" s="448" t="s">
        <v>1158</v>
      </c>
      <c r="BG9" s="449"/>
      <c r="BH9" s="449"/>
      <c r="BI9" s="449"/>
      <c r="BJ9" s="450"/>
      <c r="BK9" s="334">
        <v>8.11</v>
      </c>
      <c r="BL9" s="334">
        <v>7.77</v>
      </c>
      <c r="BM9" s="334">
        <v>15.34</v>
      </c>
      <c r="BN9" s="380">
        <v>0.55940000000000001</v>
      </c>
      <c r="BO9" s="334">
        <v>0.85</v>
      </c>
      <c r="BP9" s="334">
        <v>2.63</v>
      </c>
      <c r="BQ9" s="380">
        <f>BO9+BP9</f>
        <v>3.48</v>
      </c>
      <c r="BR9" s="334" t="s">
        <v>3083</v>
      </c>
      <c r="BS9" s="317">
        <v>1</v>
      </c>
      <c r="BT9" s="240">
        <v>30</v>
      </c>
      <c r="BU9" s="240">
        <v>2</v>
      </c>
      <c r="BV9" s="334">
        <v>60</v>
      </c>
      <c r="BW9" s="317">
        <v>258.8</v>
      </c>
      <c r="BX9" s="334" t="s">
        <v>890</v>
      </c>
      <c r="BY9" s="154" t="s">
        <v>735</v>
      </c>
      <c r="BZ9" s="331"/>
      <c r="CA9" s="331"/>
      <c r="CB9" s="236"/>
    </row>
    <row r="10" spans="1:80" ht="30" x14ac:dyDescent="0.25">
      <c r="A10" s="376">
        <v>43035</v>
      </c>
      <c r="B10" s="229" t="s">
        <v>14</v>
      </c>
      <c r="C10" s="229" t="s">
        <v>3122</v>
      </c>
      <c r="D10" s="229" t="s">
        <v>60</v>
      </c>
      <c r="E10" s="229" t="s">
        <v>3089</v>
      </c>
      <c r="F10" s="211" t="s">
        <v>3123</v>
      </c>
      <c r="G10" s="328" t="s">
        <v>984</v>
      </c>
      <c r="H10" s="413" t="s">
        <v>3124</v>
      </c>
      <c r="I10" s="412"/>
      <c r="J10" s="412"/>
      <c r="K10" s="412"/>
      <c r="L10" s="320"/>
      <c r="M10" s="320"/>
      <c r="N10" s="320"/>
      <c r="O10" s="320"/>
      <c r="P10" s="320"/>
      <c r="Q10" s="320"/>
      <c r="R10" s="320"/>
      <c r="S10" s="320"/>
      <c r="T10" s="320"/>
      <c r="U10" s="414" t="s">
        <v>3125</v>
      </c>
      <c r="V10" s="324"/>
      <c r="W10" s="319"/>
      <c r="X10" s="324"/>
      <c r="Y10" s="322"/>
      <c r="Z10" s="324"/>
      <c r="AA10" s="319"/>
      <c r="AB10" s="412"/>
      <c r="AC10" s="412"/>
      <c r="AD10" s="328"/>
      <c r="AE10" s="412"/>
      <c r="AF10" s="412"/>
      <c r="AG10" s="412"/>
      <c r="AH10" s="412"/>
      <c r="AI10" s="412"/>
      <c r="AJ10" s="412"/>
      <c r="AK10" s="412"/>
      <c r="AL10" s="322"/>
      <c r="AM10" s="412"/>
      <c r="AN10" s="412"/>
      <c r="AO10" s="412"/>
      <c r="AP10" s="412"/>
      <c r="AQ10" s="412"/>
      <c r="AR10" s="159">
        <v>64.400000000000006</v>
      </c>
      <c r="AS10" s="409" t="s">
        <v>1158</v>
      </c>
      <c r="AT10" s="409" t="s">
        <v>1158</v>
      </c>
      <c r="AU10" s="409" t="s">
        <v>1158</v>
      </c>
      <c r="AV10" s="409" t="s">
        <v>1158</v>
      </c>
      <c r="AW10" s="409" t="s">
        <v>1158</v>
      </c>
      <c r="AX10" s="196" t="s">
        <v>3127</v>
      </c>
      <c r="AY10" s="408">
        <v>10038568745344</v>
      </c>
      <c r="AZ10" s="327"/>
      <c r="BA10" s="327"/>
      <c r="BB10" s="327"/>
      <c r="BC10" s="415">
        <v>8</v>
      </c>
      <c r="BD10" s="415">
        <v>11.64</v>
      </c>
      <c r="BE10" s="384"/>
      <c r="BF10" s="448" t="s">
        <v>1158</v>
      </c>
      <c r="BG10" s="449"/>
      <c r="BH10" s="449"/>
      <c r="BI10" s="449"/>
      <c r="BJ10" s="450"/>
      <c r="BK10" s="163">
        <v>8.93</v>
      </c>
      <c r="BL10" s="163">
        <v>8.59</v>
      </c>
      <c r="BM10" s="163">
        <v>12.59</v>
      </c>
      <c r="BN10" s="163">
        <v>0.55000000000000004</v>
      </c>
      <c r="BO10" s="379">
        <v>0.89</v>
      </c>
      <c r="BP10" s="380">
        <v>2.5</v>
      </c>
      <c r="BQ10" s="380">
        <f>BO10+BP10</f>
        <v>3.39</v>
      </c>
      <c r="BR10" s="334" t="s">
        <v>3083</v>
      </c>
      <c r="BS10" s="334">
        <v>1</v>
      </c>
      <c r="BT10" s="334">
        <v>20</v>
      </c>
      <c r="BU10" s="334">
        <v>3</v>
      </c>
      <c r="BV10" s="334">
        <v>60</v>
      </c>
      <c r="BW10" s="317">
        <v>253.4</v>
      </c>
      <c r="BX10" s="334" t="s">
        <v>890</v>
      </c>
      <c r="BY10" s="154" t="s">
        <v>735</v>
      </c>
    </row>
    <row r="11" spans="1:80" s="316" customFormat="1" x14ac:dyDescent="0.25">
      <c r="A11" s="376">
        <v>43004</v>
      </c>
      <c r="B11" s="229" t="s">
        <v>14</v>
      </c>
      <c r="C11" s="229" t="s">
        <v>3079</v>
      </c>
      <c r="D11" s="229" t="s">
        <v>60</v>
      </c>
      <c r="E11" s="229" t="s">
        <v>3080</v>
      </c>
      <c r="F11" s="239" t="s">
        <v>3103</v>
      </c>
      <c r="G11" s="328"/>
      <c r="H11" s="319"/>
      <c r="I11" s="407"/>
      <c r="J11" s="407"/>
      <c r="K11" s="407"/>
      <c r="L11" s="320"/>
      <c r="M11" s="320"/>
      <c r="N11" s="320"/>
      <c r="O11" s="230"/>
      <c r="P11" s="230"/>
      <c r="Q11" s="230"/>
      <c r="R11" s="230"/>
      <c r="S11" s="230"/>
      <c r="T11" s="230"/>
      <c r="U11" s="319" t="s">
        <v>3095</v>
      </c>
      <c r="V11" s="324"/>
      <c r="W11" s="319"/>
      <c r="X11" s="324"/>
      <c r="Y11" s="322" t="s">
        <v>3096</v>
      </c>
      <c r="Z11" s="324"/>
      <c r="AA11" s="319"/>
      <c r="AB11" s="407"/>
      <c r="AC11" s="407"/>
      <c r="AD11" s="328"/>
      <c r="AE11" s="407"/>
      <c r="AF11" s="407"/>
      <c r="AG11" s="407"/>
      <c r="AH11" s="407"/>
      <c r="AI11" s="407"/>
      <c r="AJ11" s="407"/>
      <c r="AK11" s="407"/>
      <c r="AL11" s="322"/>
      <c r="AM11" s="407"/>
      <c r="AN11" s="407"/>
      <c r="AO11" s="407"/>
      <c r="AP11" s="407"/>
      <c r="AQ11" s="407">
        <v>49767</v>
      </c>
      <c r="AR11" s="159">
        <v>39.69</v>
      </c>
      <c r="AS11" s="409" t="s">
        <v>1158</v>
      </c>
      <c r="AT11" s="409" t="s">
        <v>1158</v>
      </c>
      <c r="AU11" s="409" t="s">
        <v>1158</v>
      </c>
      <c r="AV11" s="409" t="s">
        <v>1158</v>
      </c>
      <c r="AW11" s="409" t="s">
        <v>1158</v>
      </c>
      <c r="AX11" s="196" t="s">
        <v>3081</v>
      </c>
      <c r="AY11" s="196" t="s">
        <v>3082</v>
      </c>
      <c r="AZ11" s="327"/>
      <c r="BA11" s="327"/>
      <c r="BB11" s="327"/>
      <c r="BC11" s="406">
        <v>9.25</v>
      </c>
      <c r="BD11" s="406">
        <v>13.52</v>
      </c>
      <c r="BE11" s="384"/>
      <c r="BF11" s="448" t="s">
        <v>1158</v>
      </c>
      <c r="BG11" s="449"/>
      <c r="BH11" s="449"/>
      <c r="BI11" s="449"/>
      <c r="BJ11" s="450"/>
      <c r="BK11" s="380">
        <v>10.06</v>
      </c>
      <c r="BL11" s="163">
        <v>9.7200000000000006</v>
      </c>
      <c r="BM11" s="163">
        <v>14.09</v>
      </c>
      <c r="BN11" s="163">
        <v>0.79732000000000003</v>
      </c>
      <c r="BO11" s="379">
        <v>1.1200000000000001</v>
      </c>
      <c r="BP11" s="380">
        <v>7.66</v>
      </c>
      <c r="BQ11" s="380">
        <f>BO11+BP11</f>
        <v>8.7800000000000011</v>
      </c>
      <c r="BR11" s="334" t="s">
        <v>3083</v>
      </c>
      <c r="BS11" s="334">
        <v>1</v>
      </c>
      <c r="BT11" s="334">
        <v>16</v>
      </c>
      <c r="BU11" s="334">
        <v>3</v>
      </c>
      <c r="BV11" s="334">
        <f>BT11*BU11</f>
        <v>48</v>
      </c>
      <c r="BW11" s="189">
        <f>(BQ11*BV11)+50</f>
        <v>471.44000000000005</v>
      </c>
      <c r="BX11" s="334" t="s">
        <v>890</v>
      </c>
      <c r="BY11" s="154" t="s">
        <v>735</v>
      </c>
      <c r="BZ11" s="331"/>
      <c r="CA11" s="331"/>
      <c r="CB11" s="236"/>
    </row>
    <row r="12" spans="1:80" ht="30" x14ac:dyDescent="0.25">
      <c r="A12" s="376">
        <v>43004</v>
      </c>
      <c r="B12" s="229" t="s">
        <v>14</v>
      </c>
      <c r="C12" s="337" t="s">
        <v>3109</v>
      </c>
      <c r="D12" s="229" t="s">
        <v>60</v>
      </c>
      <c r="E12" s="229" t="s">
        <v>3089</v>
      </c>
      <c r="F12" s="30" t="s">
        <v>1735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 t="s">
        <v>3110</v>
      </c>
      <c r="V12" s="317"/>
      <c r="W12" s="317"/>
      <c r="X12" s="317"/>
      <c r="Y12" s="317" t="s">
        <v>3112</v>
      </c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159">
        <v>144.11000000000001</v>
      </c>
      <c r="AS12" s="409" t="s">
        <v>1158</v>
      </c>
      <c r="AT12" s="409" t="s">
        <v>1158</v>
      </c>
      <c r="AU12" s="409" t="s">
        <v>1158</v>
      </c>
      <c r="AV12" s="409" t="s">
        <v>1158</v>
      </c>
      <c r="AW12" s="409" t="s">
        <v>1158</v>
      </c>
      <c r="AX12" s="410" t="s">
        <v>3113</v>
      </c>
      <c r="AY12" s="411" t="s">
        <v>3114</v>
      </c>
      <c r="AZ12" s="327"/>
      <c r="BA12" s="327"/>
      <c r="BB12" s="327"/>
      <c r="BC12" s="281">
        <v>13.06</v>
      </c>
      <c r="BD12" s="281">
        <v>25.73</v>
      </c>
      <c r="BE12" s="384"/>
      <c r="BF12" s="448" t="s">
        <v>1158</v>
      </c>
      <c r="BG12" s="449"/>
      <c r="BH12" s="449"/>
      <c r="BI12" s="449"/>
      <c r="BJ12" s="450"/>
      <c r="BK12" s="334">
        <v>14.34</v>
      </c>
      <c r="BL12" s="334">
        <v>14.68</v>
      </c>
      <c r="BM12" s="334">
        <v>26.52</v>
      </c>
      <c r="BN12" s="380">
        <v>3.23</v>
      </c>
      <c r="BO12" s="334">
        <v>2.85</v>
      </c>
      <c r="BP12" s="334">
        <v>10.67</v>
      </c>
      <c r="BQ12" s="380">
        <f t="shared" ref="BQ12" si="0">BO12+BP12</f>
        <v>13.52</v>
      </c>
      <c r="BR12" s="334" t="s">
        <v>3083</v>
      </c>
      <c r="BS12" s="317">
        <v>1</v>
      </c>
      <c r="BT12" s="240">
        <v>6</v>
      </c>
      <c r="BU12" s="240">
        <v>1</v>
      </c>
      <c r="BV12" s="334">
        <f t="shared" ref="BV12" si="1">BT12*BU12</f>
        <v>6</v>
      </c>
      <c r="BW12" s="189">
        <f t="shared" ref="BW12" si="2">(BQ12*BV12)+50</f>
        <v>131.12</v>
      </c>
      <c r="BX12" s="334" t="s">
        <v>890</v>
      </c>
      <c r="BY12" s="154" t="s">
        <v>735</v>
      </c>
    </row>
    <row r="13" spans="1:80" s="316" customFormat="1" ht="30" x14ac:dyDescent="0.25">
      <c r="A13" s="376">
        <v>43004</v>
      </c>
      <c r="B13" s="229" t="s">
        <v>14</v>
      </c>
      <c r="C13" s="229" t="s">
        <v>3088</v>
      </c>
      <c r="D13" s="229" t="s">
        <v>60</v>
      </c>
      <c r="E13" s="229" t="s">
        <v>3089</v>
      </c>
      <c r="F13" s="211" t="s">
        <v>3105</v>
      </c>
      <c r="G13" s="328"/>
      <c r="H13" s="407"/>
      <c r="I13" s="407"/>
      <c r="J13" s="407"/>
      <c r="K13" s="407"/>
      <c r="L13" s="320"/>
      <c r="M13" s="320"/>
      <c r="N13" s="320"/>
      <c r="O13" s="320"/>
      <c r="P13" s="320"/>
      <c r="Q13" s="320"/>
      <c r="R13" s="320"/>
      <c r="S13" s="320"/>
      <c r="T13" s="320"/>
      <c r="U13" s="319" t="s">
        <v>3098</v>
      </c>
      <c r="V13" s="324"/>
      <c r="W13" s="319"/>
      <c r="X13" s="324"/>
      <c r="Y13" s="322" t="s">
        <v>3099</v>
      </c>
      <c r="Z13" s="324"/>
      <c r="AA13" s="319" t="s">
        <v>3100</v>
      </c>
      <c r="AB13" s="407"/>
      <c r="AC13" s="407"/>
      <c r="AD13" s="328"/>
      <c r="AE13" s="407"/>
      <c r="AF13" s="407"/>
      <c r="AG13" s="407"/>
      <c r="AH13" s="407"/>
      <c r="AI13" s="407"/>
      <c r="AJ13" s="407"/>
      <c r="AK13" s="407"/>
      <c r="AL13" s="322"/>
      <c r="AM13" s="407"/>
      <c r="AN13" s="407"/>
      <c r="AO13" s="407"/>
      <c r="AP13" s="407"/>
      <c r="AQ13" s="407"/>
      <c r="AR13" s="159">
        <v>100.72</v>
      </c>
      <c r="AS13" s="409" t="s">
        <v>1158</v>
      </c>
      <c r="AT13" s="409" t="s">
        <v>1158</v>
      </c>
      <c r="AU13" s="409" t="s">
        <v>1158</v>
      </c>
      <c r="AV13" s="409" t="s">
        <v>1158</v>
      </c>
      <c r="AW13" s="409" t="s">
        <v>1158</v>
      </c>
      <c r="AX13" s="196" t="s">
        <v>3090</v>
      </c>
      <c r="AY13" s="196" t="s">
        <v>3091</v>
      </c>
      <c r="AZ13" s="327"/>
      <c r="BA13" s="327"/>
      <c r="BB13" s="327"/>
      <c r="BC13" s="406">
        <v>11.53</v>
      </c>
      <c r="BD13" s="406">
        <v>23.34</v>
      </c>
      <c r="BE13" s="384"/>
      <c r="BF13" s="448" t="s">
        <v>1158</v>
      </c>
      <c r="BG13" s="449"/>
      <c r="BH13" s="449"/>
      <c r="BI13" s="449"/>
      <c r="BJ13" s="450"/>
      <c r="BK13" s="163">
        <v>12.34</v>
      </c>
      <c r="BL13" s="163">
        <v>12.68</v>
      </c>
      <c r="BM13" s="163">
        <v>25.59</v>
      </c>
      <c r="BN13" s="163">
        <v>2.3170000000000002</v>
      </c>
      <c r="BO13" s="379">
        <v>2.2400000000000002</v>
      </c>
      <c r="BP13" s="380">
        <v>7.62</v>
      </c>
      <c r="BQ13" s="380">
        <f t="shared" ref="BQ13:BQ16" si="3">BO13+BP13</f>
        <v>9.86</v>
      </c>
      <c r="BR13" s="334" t="s">
        <v>3083</v>
      </c>
      <c r="BS13" s="334">
        <v>1</v>
      </c>
      <c r="BT13" s="334">
        <v>9</v>
      </c>
      <c r="BU13" s="334">
        <v>1</v>
      </c>
      <c r="BV13" s="334">
        <f t="shared" ref="BV13:BV16" si="4">BT13*BU13</f>
        <v>9</v>
      </c>
      <c r="BW13" s="189">
        <f t="shared" ref="BW13:BW16" si="5">(BQ13*BV13)+50</f>
        <v>138.74</v>
      </c>
      <c r="BX13" s="334" t="s">
        <v>890</v>
      </c>
      <c r="BY13" s="154" t="s">
        <v>735</v>
      </c>
      <c r="BZ13" s="331"/>
      <c r="CA13" s="331"/>
      <c r="CB13" s="236"/>
    </row>
    <row r="14" spans="1:80" s="316" customFormat="1" ht="30" x14ac:dyDescent="0.25">
      <c r="A14" s="376">
        <v>43004</v>
      </c>
      <c r="B14" s="229" t="s">
        <v>14</v>
      </c>
      <c r="C14" s="229" t="s">
        <v>3084</v>
      </c>
      <c r="D14" s="229" t="s">
        <v>60</v>
      </c>
      <c r="E14" s="229" t="s">
        <v>3085</v>
      </c>
      <c r="F14" s="211" t="s">
        <v>3104</v>
      </c>
      <c r="G14" s="328"/>
      <c r="H14" s="407"/>
      <c r="I14" s="407"/>
      <c r="J14" s="407"/>
      <c r="K14" s="407"/>
      <c r="L14" s="320"/>
      <c r="M14" s="320"/>
      <c r="N14" s="320"/>
      <c r="O14" s="320"/>
      <c r="P14" s="320"/>
      <c r="Q14" s="320"/>
      <c r="R14" s="320"/>
      <c r="S14" s="320"/>
      <c r="T14" s="320"/>
      <c r="U14" s="319" t="s">
        <v>3097</v>
      </c>
      <c r="V14" s="324"/>
      <c r="W14" s="319"/>
      <c r="X14" s="324"/>
      <c r="Y14" s="322"/>
      <c r="Z14" s="324"/>
      <c r="AA14" s="319"/>
      <c r="AB14" s="407"/>
      <c r="AC14" s="407"/>
      <c r="AD14" s="328"/>
      <c r="AE14" s="407"/>
      <c r="AF14" s="407"/>
      <c r="AG14" s="407"/>
      <c r="AH14" s="407"/>
      <c r="AI14" s="407"/>
      <c r="AJ14" s="407"/>
      <c r="AK14" s="407"/>
      <c r="AL14" s="322"/>
      <c r="AM14" s="407"/>
      <c r="AN14" s="407"/>
      <c r="AO14" s="407"/>
      <c r="AP14" s="407"/>
      <c r="AQ14" s="407"/>
      <c r="AR14" s="159">
        <v>121.98</v>
      </c>
      <c r="AS14" s="409" t="s">
        <v>1158</v>
      </c>
      <c r="AT14" s="409" t="s">
        <v>1158</v>
      </c>
      <c r="AU14" s="409" t="s">
        <v>1158</v>
      </c>
      <c r="AV14" s="409" t="s">
        <v>1158</v>
      </c>
      <c r="AW14" s="409" t="s">
        <v>1158</v>
      </c>
      <c r="AX14" s="196" t="s">
        <v>3086</v>
      </c>
      <c r="AY14" s="196" t="s">
        <v>3087</v>
      </c>
      <c r="AZ14" s="327"/>
      <c r="BA14" s="327"/>
      <c r="BB14" s="327"/>
      <c r="BC14" s="406">
        <v>12.09</v>
      </c>
      <c r="BD14" s="406">
        <v>22.94</v>
      </c>
      <c r="BE14" s="384"/>
      <c r="BF14" s="448" t="s">
        <v>1158</v>
      </c>
      <c r="BG14" s="449"/>
      <c r="BH14" s="449"/>
      <c r="BI14" s="449"/>
      <c r="BJ14" s="450"/>
      <c r="BK14" s="163">
        <v>13.86</v>
      </c>
      <c r="BL14" s="163">
        <v>13.52</v>
      </c>
      <c r="BM14" s="163">
        <v>24.34</v>
      </c>
      <c r="BN14" s="163">
        <v>2.6389999999999998</v>
      </c>
      <c r="BO14" s="379">
        <v>2.48</v>
      </c>
      <c r="BP14" s="380">
        <v>11.46</v>
      </c>
      <c r="BQ14" s="380">
        <f>BO14+BP14</f>
        <v>13.940000000000001</v>
      </c>
      <c r="BR14" s="334" t="s">
        <v>3083</v>
      </c>
      <c r="BS14" s="334">
        <v>1</v>
      </c>
      <c r="BT14" s="334">
        <v>9</v>
      </c>
      <c r="BU14" s="334">
        <v>2</v>
      </c>
      <c r="BV14" s="334">
        <f>BT14*BU14</f>
        <v>18</v>
      </c>
      <c r="BW14" s="189">
        <f>(BQ14*BV14)+50</f>
        <v>300.92</v>
      </c>
      <c r="BX14" s="334" t="s">
        <v>890</v>
      </c>
      <c r="BY14" s="154" t="s">
        <v>735</v>
      </c>
      <c r="BZ14" s="331"/>
      <c r="CA14" s="331"/>
      <c r="CB14" s="236"/>
    </row>
    <row r="15" spans="1:80" s="316" customFormat="1" ht="30" x14ac:dyDescent="0.25">
      <c r="A15" s="376">
        <v>43004</v>
      </c>
      <c r="B15" s="229" t="s">
        <v>14</v>
      </c>
      <c r="C15" s="229" t="s">
        <v>2985</v>
      </c>
      <c r="D15" s="229" t="s">
        <v>60</v>
      </c>
      <c r="E15" s="229" t="s">
        <v>3107</v>
      </c>
      <c r="F15" s="211" t="s">
        <v>3108</v>
      </c>
      <c r="G15" s="328" t="s">
        <v>2988</v>
      </c>
      <c r="H15" s="407">
        <v>87404270</v>
      </c>
      <c r="I15" s="407"/>
      <c r="J15" s="407"/>
      <c r="K15" s="407"/>
      <c r="L15" s="320"/>
      <c r="M15" s="320"/>
      <c r="N15" s="320"/>
      <c r="O15" s="320"/>
      <c r="P15" s="320"/>
      <c r="Q15" s="320"/>
      <c r="R15" s="320"/>
      <c r="S15" s="320"/>
      <c r="T15" s="320"/>
      <c r="U15" s="319" t="s">
        <v>3111</v>
      </c>
      <c r="V15" s="324"/>
      <c r="W15" s="319"/>
      <c r="X15" s="324"/>
      <c r="Y15" s="322" t="s">
        <v>2999</v>
      </c>
      <c r="Z15" s="324"/>
      <c r="AA15" s="319"/>
      <c r="AB15" s="407"/>
      <c r="AC15" s="407"/>
      <c r="AD15" s="328"/>
      <c r="AE15" s="407"/>
      <c r="AF15" s="407"/>
      <c r="AG15" s="407"/>
      <c r="AH15" s="407"/>
      <c r="AI15" s="407"/>
      <c r="AJ15" s="407"/>
      <c r="AK15" s="407"/>
      <c r="AL15" s="322"/>
      <c r="AM15" s="407"/>
      <c r="AN15" s="407"/>
      <c r="AO15" s="407"/>
      <c r="AP15" s="407"/>
      <c r="AQ15" s="407"/>
      <c r="AR15" s="159">
        <v>165.47</v>
      </c>
      <c r="AS15" s="409" t="s">
        <v>1158</v>
      </c>
      <c r="AT15" s="409" t="s">
        <v>1158</v>
      </c>
      <c r="AU15" s="409" t="s">
        <v>1158</v>
      </c>
      <c r="AV15" s="409" t="s">
        <v>1158</v>
      </c>
      <c r="AW15" s="409" t="s">
        <v>1158</v>
      </c>
      <c r="AX15" s="196" t="s">
        <v>3010</v>
      </c>
      <c r="AY15" s="408">
        <v>10038568704051</v>
      </c>
      <c r="AZ15" s="327"/>
      <c r="BA15" s="327"/>
      <c r="BB15" s="327"/>
      <c r="BC15" s="406">
        <v>13.17</v>
      </c>
      <c r="BD15" s="406">
        <v>24.44</v>
      </c>
      <c r="BE15" s="384"/>
      <c r="BF15" s="448" t="s">
        <v>1158</v>
      </c>
      <c r="BG15" s="449"/>
      <c r="BH15" s="449"/>
      <c r="BI15" s="449"/>
      <c r="BJ15" s="450"/>
      <c r="BK15" s="163">
        <v>14.22</v>
      </c>
      <c r="BL15" s="163">
        <v>14.56</v>
      </c>
      <c r="BM15" s="163">
        <v>25.52</v>
      </c>
      <c r="BN15" s="163">
        <v>3.0569999999999999</v>
      </c>
      <c r="BO15" s="379">
        <v>2.75</v>
      </c>
      <c r="BP15" s="380">
        <v>13.61</v>
      </c>
      <c r="BQ15" s="380">
        <f t="shared" si="3"/>
        <v>16.36</v>
      </c>
      <c r="BR15" s="334" t="s">
        <v>3083</v>
      </c>
      <c r="BS15" s="334">
        <v>1</v>
      </c>
      <c r="BT15" s="334">
        <v>6</v>
      </c>
      <c r="BU15" s="334">
        <v>1</v>
      </c>
      <c r="BV15" s="334">
        <f t="shared" si="4"/>
        <v>6</v>
      </c>
      <c r="BW15" s="189">
        <f t="shared" si="5"/>
        <v>148.16</v>
      </c>
      <c r="BX15" s="334" t="s">
        <v>890</v>
      </c>
      <c r="BY15" s="154" t="s">
        <v>735</v>
      </c>
      <c r="BZ15" s="331"/>
      <c r="CA15" s="331"/>
      <c r="CB15" s="236"/>
    </row>
    <row r="16" spans="1:80" s="316" customFormat="1" ht="30" x14ac:dyDescent="0.25">
      <c r="A16" s="376">
        <v>43004</v>
      </c>
      <c r="B16" s="229" t="s">
        <v>14</v>
      </c>
      <c r="C16" s="229" t="s">
        <v>3092</v>
      </c>
      <c r="D16" s="229" t="s">
        <v>60</v>
      </c>
      <c r="E16" s="229" t="s">
        <v>3089</v>
      </c>
      <c r="F16" s="211" t="s">
        <v>3106</v>
      </c>
      <c r="G16" s="328"/>
      <c r="H16" s="407"/>
      <c r="I16" s="407"/>
      <c r="J16" s="407"/>
      <c r="K16" s="407"/>
      <c r="L16" s="320"/>
      <c r="M16" s="320"/>
      <c r="N16" s="320"/>
      <c r="O16" s="320"/>
      <c r="P16" s="320"/>
      <c r="Q16" s="320"/>
      <c r="R16" s="320"/>
      <c r="S16" s="320"/>
      <c r="T16" s="320"/>
      <c r="U16" s="319" t="s">
        <v>3101</v>
      </c>
      <c r="V16" s="324"/>
      <c r="W16" s="319"/>
      <c r="X16" s="324"/>
      <c r="Y16" s="322" t="s">
        <v>3102</v>
      </c>
      <c r="Z16" s="324"/>
      <c r="AA16" s="319"/>
      <c r="AB16" s="407"/>
      <c r="AC16" s="407"/>
      <c r="AD16" s="328"/>
      <c r="AE16" s="407"/>
      <c r="AF16" s="407"/>
      <c r="AG16" s="407"/>
      <c r="AH16" s="407"/>
      <c r="AI16" s="407"/>
      <c r="AJ16" s="407"/>
      <c r="AK16" s="407"/>
      <c r="AL16" s="322"/>
      <c r="AM16" s="407"/>
      <c r="AN16" s="407"/>
      <c r="AO16" s="407"/>
      <c r="AP16" s="407"/>
      <c r="AQ16" s="407"/>
      <c r="AR16" s="159">
        <v>108.38</v>
      </c>
      <c r="AS16" s="409" t="s">
        <v>1158</v>
      </c>
      <c r="AT16" s="409" t="s">
        <v>1158</v>
      </c>
      <c r="AU16" s="409" t="s">
        <v>1158</v>
      </c>
      <c r="AV16" s="409" t="s">
        <v>1158</v>
      </c>
      <c r="AW16" s="409" t="s">
        <v>1158</v>
      </c>
      <c r="AX16" s="196" t="s">
        <v>3093</v>
      </c>
      <c r="AY16" s="196" t="s">
        <v>3094</v>
      </c>
      <c r="AZ16" s="327"/>
      <c r="BA16" s="327"/>
      <c r="BB16" s="327"/>
      <c r="BC16" s="406">
        <v>11.53</v>
      </c>
      <c r="BD16" s="406">
        <v>24.15</v>
      </c>
      <c r="BE16" s="384"/>
      <c r="BF16" s="448" t="s">
        <v>1158</v>
      </c>
      <c r="BG16" s="449"/>
      <c r="BH16" s="449"/>
      <c r="BI16" s="449"/>
      <c r="BJ16" s="450"/>
      <c r="BK16" s="163">
        <v>12.34</v>
      </c>
      <c r="BL16" s="163">
        <v>12.68</v>
      </c>
      <c r="BM16" s="163">
        <v>25.59</v>
      </c>
      <c r="BN16" s="163">
        <v>2.3170000000000002</v>
      </c>
      <c r="BO16" s="379">
        <v>2.2400000000000002</v>
      </c>
      <c r="BP16" s="380">
        <v>7.52</v>
      </c>
      <c r="BQ16" s="380">
        <f t="shared" si="3"/>
        <v>9.76</v>
      </c>
      <c r="BR16" s="334" t="s">
        <v>3083</v>
      </c>
      <c r="BS16" s="334">
        <v>1</v>
      </c>
      <c r="BT16" s="334">
        <v>9</v>
      </c>
      <c r="BU16" s="334">
        <v>1</v>
      </c>
      <c r="BV16" s="334">
        <f t="shared" si="4"/>
        <v>9</v>
      </c>
      <c r="BW16" s="189">
        <f t="shared" si="5"/>
        <v>137.84</v>
      </c>
      <c r="BX16" s="334" t="s">
        <v>890</v>
      </c>
      <c r="BY16" s="154" t="s">
        <v>735</v>
      </c>
      <c r="BZ16" s="331"/>
      <c r="CA16" s="331"/>
      <c r="CB16" s="236"/>
    </row>
    <row r="17" spans="1:82" ht="30" x14ac:dyDescent="0.25">
      <c r="A17" s="376">
        <v>42933</v>
      </c>
      <c r="B17" s="229" t="s">
        <v>14</v>
      </c>
      <c r="C17" s="229" t="s">
        <v>3069</v>
      </c>
      <c r="D17" s="229" t="s">
        <v>60</v>
      </c>
      <c r="E17" s="229" t="s">
        <v>3070</v>
      </c>
      <c r="F17" s="239" t="s">
        <v>3071</v>
      </c>
      <c r="G17" s="391" t="s">
        <v>1339</v>
      </c>
      <c r="H17" s="391" t="s">
        <v>3072</v>
      </c>
      <c r="I17" s="391"/>
      <c r="J17" s="391"/>
      <c r="K17" s="319"/>
      <c r="L17" s="320"/>
      <c r="M17" s="320"/>
      <c r="N17" s="320"/>
      <c r="O17" s="230"/>
      <c r="P17" s="230"/>
      <c r="Q17" s="230"/>
      <c r="R17" s="230"/>
      <c r="S17" s="230"/>
      <c r="T17" s="230"/>
      <c r="U17" s="319" t="s">
        <v>3073</v>
      </c>
      <c r="V17" s="324"/>
      <c r="W17" s="319"/>
      <c r="X17" s="324"/>
      <c r="Y17" s="322" t="s">
        <v>3074</v>
      </c>
      <c r="Z17" s="324"/>
      <c r="AA17" s="319" t="s">
        <v>3075</v>
      </c>
      <c r="AB17" s="391"/>
      <c r="AC17" s="391"/>
      <c r="AD17" s="328"/>
      <c r="AE17" s="391"/>
      <c r="AF17" s="391"/>
      <c r="AG17" s="391"/>
      <c r="AH17" s="391"/>
      <c r="AI17" s="391"/>
      <c r="AJ17" s="391"/>
      <c r="AK17" s="391"/>
      <c r="AL17" s="322"/>
      <c r="AM17" s="391"/>
      <c r="AN17" s="391"/>
      <c r="AO17" s="391"/>
      <c r="AP17" s="391"/>
      <c r="AQ17" s="391" t="s">
        <v>3076</v>
      </c>
      <c r="AR17" s="159">
        <v>39.68</v>
      </c>
      <c r="AS17" s="330">
        <v>0.5</v>
      </c>
      <c r="AT17" s="330">
        <v>0.55000000000000004</v>
      </c>
      <c r="AU17" s="330">
        <v>0.35</v>
      </c>
      <c r="AV17" s="330"/>
      <c r="AW17" s="191"/>
      <c r="AX17" s="196" t="s">
        <v>3077</v>
      </c>
      <c r="AY17" s="196" t="s">
        <v>3078</v>
      </c>
      <c r="AZ17" s="327"/>
      <c r="BA17" s="327"/>
      <c r="BB17" s="327"/>
      <c r="BC17" s="393">
        <v>4.12</v>
      </c>
      <c r="BD17" s="393">
        <v>7.46</v>
      </c>
      <c r="BE17" s="384"/>
      <c r="BF17" s="163">
        <v>4.125</v>
      </c>
      <c r="BG17" s="163">
        <v>4.125</v>
      </c>
      <c r="BH17" s="163">
        <v>7.625</v>
      </c>
      <c r="BI17" s="395">
        <f>(BF17*BG17*BH17)/1728</f>
        <v>7.5083414713541671E-2</v>
      </c>
      <c r="BJ17" s="163">
        <v>0.11</v>
      </c>
      <c r="BK17" s="380">
        <v>12.62</v>
      </c>
      <c r="BL17" s="163">
        <v>8.81</v>
      </c>
      <c r="BM17" s="163">
        <v>8.3800000000000008</v>
      </c>
      <c r="BN17" s="163">
        <v>0.59899999999999998</v>
      </c>
      <c r="BO17" s="379">
        <v>0.8</v>
      </c>
      <c r="BP17" s="380">
        <v>0.87</v>
      </c>
      <c r="BQ17" s="380">
        <f>((BP17+BJ17)*6)+BO17</f>
        <v>6.68</v>
      </c>
      <c r="BR17" s="334" t="s">
        <v>733</v>
      </c>
      <c r="BS17" s="334">
        <v>6</v>
      </c>
      <c r="BT17" s="334">
        <v>15</v>
      </c>
      <c r="BU17" s="334">
        <v>5</v>
      </c>
      <c r="BV17" s="334">
        <f>BS17*BT17*BU17</f>
        <v>450</v>
      </c>
      <c r="BW17" s="189">
        <f>(BQ17*BT17*BU17)+50</f>
        <v>551</v>
      </c>
      <c r="BX17" s="334" t="s">
        <v>890</v>
      </c>
      <c r="BY17" s="394" t="s">
        <v>783</v>
      </c>
      <c r="BZ17" s="8"/>
      <c r="CA17" s="8"/>
      <c r="CB17" s="8"/>
    </row>
    <row r="18" spans="1:82" s="316" customFormat="1" x14ac:dyDescent="0.25">
      <c r="A18" s="376">
        <v>42915</v>
      </c>
      <c r="B18" s="229" t="s">
        <v>14</v>
      </c>
      <c r="C18" s="229" t="s">
        <v>3050</v>
      </c>
      <c r="D18" s="229" t="s">
        <v>60</v>
      </c>
      <c r="E18" s="229" t="s">
        <v>3051</v>
      </c>
      <c r="F18" s="239" t="s">
        <v>3052</v>
      </c>
      <c r="G18" s="391" t="s">
        <v>1528</v>
      </c>
      <c r="H18" s="391" t="s">
        <v>1158</v>
      </c>
      <c r="I18" s="391"/>
      <c r="J18" s="391"/>
      <c r="K18" s="319"/>
      <c r="L18" s="320"/>
      <c r="M18" s="320"/>
      <c r="N18" s="320"/>
      <c r="O18" s="230"/>
      <c r="P18" s="230"/>
      <c r="Q18" s="230"/>
      <c r="R18" s="230"/>
      <c r="S18" s="230"/>
      <c r="T18" s="230"/>
      <c r="U18" s="319"/>
      <c r="V18" s="324"/>
      <c r="W18" s="319"/>
      <c r="X18" s="324"/>
      <c r="Y18" s="322"/>
      <c r="Z18" s="324"/>
      <c r="AA18" s="319"/>
      <c r="AB18" s="391"/>
      <c r="AC18" s="391"/>
      <c r="AD18" s="328"/>
      <c r="AE18" s="391"/>
      <c r="AF18" s="391"/>
      <c r="AG18" s="391"/>
      <c r="AH18" s="391"/>
      <c r="AI18" s="391"/>
      <c r="AJ18" s="391"/>
      <c r="AK18" s="391"/>
      <c r="AL18" s="322"/>
      <c r="AM18" s="391"/>
      <c r="AN18" s="391"/>
      <c r="AO18" s="391"/>
      <c r="AP18" s="391"/>
      <c r="AQ18" s="391"/>
      <c r="AR18" s="159">
        <v>66.569999999999993</v>
      </c>
      <c r="AS18" s="330">
        <v>1</v>
      </c>
      <c r="AT18" s="330">
        <v>1.25</v>
      </c>
      <c r="AU18" s="330">
        <v>0.85</v>
      </c>
      <c r="AV18" s="330"/>
      <c r="AW18" s="191"/>
      <c r="AX18" s="196" t="s">
        <v>3061</v>
      </c>
      <c r="AY18" s="196" t="s">
        <v>3062</v>
      </c>
      <c r="AZ18" s="327"/>
      <c r="BA18" s="327"/>
      <c r="BB18" s="327"/>
      <c r="BC18" s="392">
        <v>4.6500000000000004</v>
      </c>
      <c r="BD18" s="392">
        <v>13.9</v>
      </c>
      <c r="BE18" s="384"/>
      <c r="BF18" s="478" t="s">
        <v>3063</v>
      </c>
      <c r="BG18" s="479"/>
      <c r="BH18" s="479"/>
      <c r="BI18" s="479"/>
      <c r="BJ18" s="480"/>
      <c r="BK18" s="380">
        <v>15.09</v>
      </c>
      <c r="BL18" s="163">
        <v>10.09</v>
      </c>
      <c r="BM18" s="163">
        <v>14.81</v>
      </c>
      <c r="BN18" s="163">
        <f t="shared" ref="BN18" si="6">(BK18*BL18*BM18)/1728</f>
        <v>1.3049435538194443</v>
      </c>
      <c r="BO18" s="379">
        <v>1.17</v>
      </c>
      <c r="BP18" s="380">
        <v>3.93</v>
      </c>
      <c r="BQ18" s="380">
        <f>(BP18*BS18)+BO18</f>
        <v>24.75</v>
      </c>
      <c r="BR18" s="334" t="s">
        <v>3064</v>
      </c>
      <c r="BS18" s="334">
        <v>6</v>
      </c>
      <c r="BT18" s="334">
        <v>12</v>
      </c>
      <c r="BU18" s="334">
        <v>3</v>
      </c>
      <c r="BV18" s="334">
        <f t="shared" ref="BV18" si="7">BS18*BT18*BU18</f>
        <v>216</v>
      </c>
      <c r="BW18" s="189">
        <f>(BT18*BU18*BQ18)+50</f>
        <v>941</v>
      </c>
      <c r="BX18" s="334" t="s">
        <v>890</v>
      </c>
      <c r="BY18" s="154" t="s">
        <v>783</v>
      </c>
      <c r="BZ18" s="331"/>
      <c r="CA18" s="331"/>
      <c r="CB18" s="331"/>
    </row>
    <row r="19" spans="1:82" s="316" customFormat="1" ht="15" customHeight="1" x14ac:dyDescent="0.25">
      <c r="A19" s="376">
        <v>42915</v>
      </c>
      <c r="B19" s="229" t="s">
        <v>14</v>
      </c>
      <c r="C19" s="229" t="s">
        <v>3053</v>
      </c>
      <c r="D19" s="229" t="s">
        <v>60</v>
      </c>
      <c r="E19" s="229" t="s">
        <v>3051</v>
      </c>
      <c r="F19" s="211" t="s">
        <v>3054</v>
      </c>
      <c r="G19" s="328" t="s">
        <v>1528</v>
      </c>
      <c r="H19" s="389">
        <v>4367100</v>
      </c>
      <c r="I19" s="389"/>
      <c r="J19" s="389"/>
      <c r="K19" s="319"/>
      <c r="L19" s="320"/>
      <c r="M19" s="320"/>
      <c r="N19" s="320"/>
      <c r="O19" s="230"/>
      <c r="P19" s="230"/>
      <c r="Q19" s="230"/>
      <c r="R19" s="230"/>
      <c r="S19" s="230"/>
      <c r="T19" s="230"/>
      <c r="U19" s="319" t="s">
        <v>3055</v>
      </c>
      <c r="V19" s="324"/>
      <c r="W19" s="319"/>
      <c r="X19" s="324"/>
      <c r="Y19" s="322" t="s">
        <v>3056</v>
      </c>
      <c r="Z19" s="324"/>
      <c r="AA19" s="319" t="s">
        <v>3057</v>
      </c>
      <c r="AB19" s="389"/>
      <c r="AC19" s="389"/>
      <c r="AD19" s="328"/>
      <c r="AE19" s="389"/>
      <c r="AF19" s="389"/>
      <c r="AG19" s="389"/>
      <c r="AH19" s="389"/>
      <c r="AI19" s="389"/>
      <c r="AJ19" s="389"/>
      <c r="AK19" s="389"/>
      <c r="AL19" s="322"/>
      <c r="AM19" s="389"/>
      <c r="AN19" s="389"/>
      <c r="AO19" s="389"/>
      <c r="AP19" s="389"/>
      <c r="AQ19" s="322" t="s">
        <v>3058</v>
      </c>
      <c r="AR19" s="159">
        <v>50.36507473529489</v>
      </c>
      <c r="AS19" s="330">
        <v>1</v>
      </c>
      <c r="AT19" s="330">
        <v>1.25</v>
      </c>
      <c r="AU19" s="330">
        <v>0.85</v>
      </c>
      <c r="AV19" s="330"/>
      <c r="AW19" s="191"/>
      <c r="AX19" s="196" t="s">
        <v>3065</v>
      </c>
      <c r="AY19" s="196" t="s">
        <v>3066</v>
      </c>
      <c r="AZ19" s="327"/>
      <c r="BA19" s="327"/>
      <c r="BB19" s="327"/>
      <c r="BC19" s="390">
        <v>4.6500000000000004</v>
      </c>
      <c r="BD19" s="390">
        <v>11.904</v>
      </c>
      <c r="BE19" s="384"/>
      <c r="BF19" s="478" t="s">
        <v>3063</v>
      </c>
      <c r="BG19" s="479"/>
      <c r="BH19" s="479"/>
      <c r="BI19" s="479"/>
      <c r="BJ19" s="480"/>
      <c r="BK19" s="380">
        <v>15.01</v>
      </c>
      <c r="BL19" s="163">
        <v>10.26</v>
      </c>
      <c r="BM19" s="163">
        <v>13.27</v>
      </c>
      <c r="BN19" s="163">
        <f>(BK19*BL19*BM19)/1728</f>
        <v>1.18264728125</v>
      </c>
      <c r="BO19" s="379">
        <v>1.1000000000000001</v>
      </c>
      <c r="BP19" s="380">
        <v>3.6</v>
      </c>
      <c r="BQ19" s="380">
        <f>(BP19*BS19)+BO19</f>
        <v>22.700000000000003</v>
      </c>
      <c r="BR19" s="334" t="s">
        <v>3064</v>
      </c>
      <c r="BS19" s="334">
        <v>6</v>
      </c>
      <c r="BT19" s="334">
        <v>10</v>
      </c>
      <c r="BU19" s="334">
        <v>3</v>
      </c>
      <c r="BV19" s="334">
        <f>BS19*BT19*BU19</f>
        <v>180</v>
      </c>
      <c r="BW19" s="189">
        <f>(BT19*BU19*BQ19)+50</f>
        <v>731.00000000000011</v>
      </c>
      <c r="BX19" s="334" t="s">
        <v>890</v>
      </c>
      <c r="BY19" s="154" t="s">
        <v>783</v>
      </c>
      <c r="BZ19" s="331"/>
      <c r="CA19" s="331"/>
      <c r="CB19" s="331"/>
    </row>
    <row r="20" spans="1:82" s="316" customFormat="1" ht="30" x14ac:dyDescent="0.25">
      <c r="A20" s="376">
        <v>42915</v>
      </c>
      <c r="B20" s="229" t="s">
        <v>14</v>
      </c>
      <c r="C20" s="229" t="s">
        <v>3059</v>
      </c>
      <c r="D20" s="229" t="s">
        <v>60</v>
      </c>
      <c r="E20" s="229" t="s">
        <v>3021</v>
      </c>
      <c r="F20" s="211" t="s">
        <v>3060</v>
      </c>
      <c r="G20" s="328" t="s">
        <v>1355</v>
      </c>
      <c r="H20" s="389" t="s">
        <v>1158</v>
      </c>
      <c r="I20" s="389"/>
      <c r="J20" s="389"/>
      <c r="K20" s="319"/>
      <c r="L20" s="320"/>
      <c r="M20" s="320"/>
      <c r="N20" s="320"/>
      <c r="O20" s="320"/>
      <c r="P20" s="320"/>
      <c r="Q20" s="320"/>
      <c r="R20" s="320"/>
      <c r="S20" s="320"/>
      <c r="T20" s="320"/>
      <c r="U20" s="319"/>
      <c r="V20" s="324"/>
      <c r="W20" s="319"/>
      <c r="X20" s="324"/>
      <c r="Y20" s="322"/>
      <c r="Z20" s="324"/>
      <c r="AA20" s="319"/>
      <c r="AB20" s="389"/>
      <c r="AC20" s="389"/>
      <c r="AD20" s="328"/>
      <c r="AE20" s="389"/>
      <c r="AF20" s="389"/>
      <c r="AG20" s="389"/>
      <c r="AH20" s="389"/>
      <c r="AI20" s="389"/>
      <c r="AJ20" s="389"/>
      <c r="AK20" s="389"/>
      <c r="AL20" s="322"/>
      <c r="AM20" s="389"/>
      <c r="AN20" s="389"/>
      <c r="AO20" s="389"/>
      <c r="AP20" s="389"/>
      <c r="AQ20" s="322"/>
      <c r="AR20" s="159">
        <v>102.75</v>
      </c>
      <c r="AS20" s="330">
        <v>4.5</v>
      </c>
      <c r="AT20" s="330">
        <v>5.55</v>
      </c>
      <c r="AU20" s="330">
        <v>3.75</v>
      </c>
      <c r="AV20" s="330"/>
      <c r="AW20" s="191"/>
      <c r="AX20" s="196" t="s">
        <v>3067</v>
      </c>
      <c r="AY20" s="196" t="s">
        <v>3068</v>
      </c>
      <c r="AZ20" s="327"/>
      <c r="BA20" s="327"/>
      <c r="BB20" s="327"/>
      <c r="BC20" s="327"/>
      <c r="BD20" s="327"/>
      <c r="BE20" s="384"/>
      <c r="BF20" s="478" t="s">
        <v>3063</v>
      </c>
      <c r="BG20" s="479"/>
      <c r="BH20" s="479"/>
      <c r="BI20" s="479"/>
      <c r="BJ20" s="480"/>
      <c r="BK20" s="163">
        <v>13.59</v>
      </c>
      <c r="BL20" s="163">
        <v>9.09</v>
      </c>
      <c r="BM20" s="163">
        <v>11.18</v>
      </c>
      <c r="BN20" s="163">
        <f t="shared" ref="BN20" si="8">(BK20*BL20*BM20)/1728</f>
        <v>0.79924771874999989</v>
      </c>
      <c r="BO20" s="379">
        <v>0.84</v>
      </c>
      <c r="BP20" s="380">
        <v>10.5</v>
      </c>
      <c r="BQ20" s="380">
        <f t="shared" ref="BQ20" si="9">(BP20*BS20)+BO20</f>
        <v>11.34</v>
      </c>
      <c r="BR20" s="334" t="s">
        <v>3064</v>
      </c>
      <c r="BS20" s="334">
        <v>1</v>
      </c>
      <c r="BT20" s="334">
        <v>13</v>
      </c>
      <c r="BU20" s="334">
        <v>4</v>
      </c>
      <c r="BV20" s="334">
        <f t="shared" ref="BV20" si="10">BS20*BT20*BU20</f>
        <v>52</v>
      </c>
      <c r="BW20" s="189">
        <f t="shared" ref="BW20" si="11">(BT20*BU20*BQ20)+50</f>
        <v>639.67999999999995</v>
      </c>
      <c r="BX20" s="334" t="s">
        <v>890</v>
      </c>
      <c r="BY20" s="154" t="s">
        <v>783</v>
      </c>
      <c r="BZ20" s="331"/>
      <c r="CA20" s="331"/>
      <c r="CB20" s="331"/>
      <c r="CC20" s="331"/>
      <c r="CD20" s="331"/>
    </row>
    <row r="21" spans="1:82" s="316" customFormat="1" x14ac:dyDescent="0.25">
      <c r="A21" s="376">
        <v>42902</v>
      </c>
      <c r="B21" s="229" t="s">
        <v>14</v>
      </c>
      <c r="C21" s="229" t="s">
        <v>3012</v>
      </c>
      <c r="D21" s="229" t="s">
        <v>60</v>
      </c>
      <c r="E21" s="386" t="s">
        <v>3046</v>
      </c>
      <c r="F21" s="239" t="s">
        <v>3013</v>
      </c>
      <c r="G21" s="328" t="s">
        <v>1373</v>
      </c>
      <c r="H21" s="319" t="s">
        <v>3014</v>
      </c>
      <c r="I21" s="381"/>
      <c r="J21" s="381"/>
      <c r="K21" s="319"/>
      <c r="L21" s="320"/>
      <c r="M21" s="320"/>
      <c r="N21" s="320"/>
      <c r="O21" s="230"/>
      <c r="P21" s="230"/>
      <c r="Q21" s="230"/>
      <c r="R21" s="230"/>
      <c r="S21" s="230"/>
      <c r="T21" s="230"/>
      <c r="U21" s="319" t="s">
        <v>3015</v>
      </c>
      <c r="V21" s="324"/>
      <c r="W21" s="319"/>
      <c r="X21" s="324"/>
      <c r="Y21" s="322" t="s">
        <v>3016</v>
      </c>
      <c r="Z21" s="324"/>
      <c r="AA21" s="319" t="s">
        <v>3017</v>
      </c>
      <c r="AB21" s="381" t="s">
        <v>3018</v>
      </c>
      <c r="AC21" s="381"/>
      <c r="AD21" s="328"/>
      <c r="AE21" s="381"/>
      <c r="AF21" s="381"/>
      <c r="AG21" s="381"/>
      <c r="AH21" s="381"/>
      <c r="AI21" s="381"/>
      <c r="AJ21" s="381"/>
      <c r="AK21" s="381"/>
      <c r="AL21" s="322" t="s">
        <v>3019</v>
      </c>
      <c r="AM21" s="381"/>
      <c r="AN21" s="381"/>
      <c r="AO21" s="381"/>
      <c r="AP21" s="381"/>
      <c r="AQ21" s="381">
        <v>57909</v>
      </c>
      <c r="AR21" s="159">
        <v>36.380000000000003</v>
      </c>
      <c r="AS21" s="330">
        <v>1</v>
      </c>
      <c r="AT21" s="330">
        <v>1.25</v>
      </c>
      <c r="AU21" s="330">
        <v>0.85</v>
      </c>
      <c r="AV21" s="330"/>
      <c r="AW21" s="191"/>
      <c r="AX21" s="196" t="s">
        <v>3033</v>
      </c>
      <c r="AY21" s="196" t="s">
        <v>3034</v>
      </c>
      <c r="AZ21" s="327"/>
      <c r="BA21" s="327"/>
      <c r="BB21" s="327"/>
      <c r="BC21" s="382">
        <v>4.6849999999999996</v>
      </c>
      <c r="BD21" s="382">
        <v>10.413</v>
      </c>
      <c r="BE21" s="384"/>
      <c r="BF21" s="484" t="s">
        <v>3035</v>
      </c>
      <c r="BG21" s="485"/>
      <c r="BH21" s="485"/>
      <c r="BI21" s="485"/>
      <c r="BJ21" s="486"/>
      <c r="BK21" s="380">
        <f>15.748+0.25</f>
        <v>15.997999999999999</v>
      </c>
      <c r="BL21" s="163">
        <f>10.039+0.25</f>
        <v>10.289</v>
      </c>
      <c r="BM21" s="163">
        <f>10.827+0.5</f>
        <v>11.327</v>
      </c>
      <c r="BN21" s="163">
        <f>(BK21*BL21*BM21)/1728</f>
        <v>1.078971620945602</v>
      </c>
      <c r="BO21" s="379">
        <v>1.3</v>
      </c>
      <c r="BP21" s="380">
        <v>0.8</v>
      </c>
      <c r="BQ21" s="380">
        <f>(BP21*BS21)+BO21</f>
        <v>6.1000000000000005</v>
      </c>
      <c r="BR21" s="334" t="s">
        <v>733</v>
      </c>
      <c r="BS21" s="334">
        <v>6</v>
      </c>
      <c r="BT21" s="334">
        <v>10</v>
      </c>
      <c r="BU21" s="334">
        <v>3</v>
      </c>
      <c r="BV21" s="334">
        <f>BS21*BT21*BU21</f>
        <v>180</v>
      </c>
      <c r="BW21" s="189">
        <f>(BQ21*BT21*BU21)+50</f>
        <v>233.00000000000003</v>
      </c>
      <c r="BX21" s="334" t="s">
        <v>782</v>
      </c>
      <c r="BY21" s="154" t="s">
        <v>783</v>
      </c>
      <c r="BZ21" s="331"/>
      <c r="CA21" s="331"/>
      <c r="CB21" s="331"/>
    </row>
    <row r="22" spans="1:82" s="316" customFormat="1" ht="30" x14ac:dyDescent="0.25">
      <c r="A22" s="376">
        <v>42902</v>
      </c>
      <c r="B22" s="229" t="s">
        <v>14</v>
      </c>
      <c r="C22" s="229" t="s">
        <v>3020</v>
      </c>
      <c r="D22" s="229" t="s">
        <v>60</v>
      </c>
      <c r="E22" s="229" t="s">
        <v>3021</v>
      </c>
      <c r="F22" s="211" t="s">
        <v>3022</v>
      </c>
      <c r="G22" s="328" t="s">
        <v>2610</v>
      </c>
      <c r="H22" s="381" t="s">
        <v>1158</v>
      </c>
      <c r="I22" s="381"/>
      <c r="J22" s="381"/>
      <c r="K22" s="319"/>
      <c r="L22" s="320"/>
      <c r="M22" s="320"/>
      <c r="N22" s="320"/>
      <c r="O22" s="230"/>
      <c r="P22" s="230"/>
      <c r="Q22" s="230"/>
      <c r="R22" s="230"/>
      <c r="S22" s="230"/>
      <c r="T22" s="230"/>
      <c r="U22" s="319"/>
      <c r="V22" s="324"/>
      <c r="W22" s="319"/>
      <c r="X22" s="324"/>
      <c r="Y22" s="322"/>
      <c r="Z22" s="324"/>
      <c r="AA22" s="319"/>
      <c r="AB22" s="381"/>
      <c r="AC22" s="381"/>
      <c r="AD22" s="328"/>
      <c r="AE22" s="381"/>
      <c r="AF22" s="381"/>
      <c r="AG22" s="381"/>
      <c r="AH22" s="381"/>
      <c r="AI22" s="381"/>
      <c r="AJ22" s="381"/>
      <c r="AK22" s="381"/>
      <c r="AL22" s="322"/>
      <c r="AM22" s="381"/>
      <c r="AN22" s="381"/>
      <c r="AO22" s="381"/>
      <c r="AP22" s="381"/>
      <c r="AQ22" s="381"/>
      <c r="AR22" s="159">
        <v>95.52</v>
      </c>
      <c r="AS22" s="330">
        <v>4</v>
      </c>
      <c r="AT22" s="330">
        <v>4.8499999999999996</v>
      </c>
      <c r="AU22" s="330">
        <v>3.25</v>
      </c>
      <c r="AV22" s="330"/>
      <c r="AW22" s="191"/>
      <c r="AX22" s="196" t="s">
        <v>3036</v>
      </c>
      <c r="AY22" s="196" t="s">
        <v>3037</v>
      </c>
      <c r="AZ22" s="327"/>
      <c r="BA22" s="327"/>
      <c r="BB22" s="327"/>
      <c r="BC22" s="327"/>
      <c r="BD22" s="327"/>
      <c r="BE22" s="384"/>
      <c r="BF22" s="478" t="s">
        <v>3038</v>
      </c>
      <c r="BG22" s="479"/>
      <c r="BH22" s="479"/>
      <c r="BI22" s="479"/>
      <c r="BJ22" s="480"/>
      <c r="BK22" s="163">
        <v>13.59</v>
      </c>
      <c r="BL22" s="163">
        <v>9.09</v>
      </c>
      <c r="BM22" s="163">
        <v>11.18</v>
      </c>
      <c r="BN22" s="163">
        <f t="shared" ref="BN22:BN25" si="12">(BK22*BL22*BM22)/1728</f>
        <v>0.79924771874999989</v>
      </c>
      <c r="BO22" s="379">
        <v>0.82</v>
      </c>
      <c r="BP22" s="380">
        <v>10.39</v>
      </c>
      <c r="BQ22" s="380">
        <f>(BP22*BS22)+BO22</f>
        <v>11.21</v>
      </c>
      <c r="BR22" s="334" t="s">
        <v>733</v>
      </c>
      <c r="BS22" s="334">
        <v>1</v>
      </c>
      <c r="BT22" s="334">
        <v>13</v>
      </c>
      <c r="BU22" s="334">
        <v>4</v>
      </c>
      <c r="BV22" s="334">
        <f>BS22*BT22*BU22</f>
        <v>52</v>
      </c>
      <c r="BW22" s="189">
        <f t="shared" ref="BW22:BW25" si="13">(BQ22*BT22*BU22)+50</f>
        <v>632.92000000000007</v>
      </c>
      <c r="BX22" s="334" t="s">
        <v>890</v>
      </c>
      <c r="BY22" s="154" t="s">
        <v>783</v>
      </c>
      <c r="BZ22" s="331"/>
      <c r="CA22" s="331"/>
      <c r="CB22" s="331"/>
    </row>
    <row r="23" spans="1:82" s="316" customFormat="1" ht="30" x14ac:dyDescent="0.25">
      <c r="A23" s="376">
        <v>42902</v>
      </c>
      <c r="B23" s="229" t="s">
        <v>14</v>
      </c>
      <c r="C23" s="229" t="s">
        <v>3023</v>
      </c>
      <c r="D23" s="229" t="s">
        <v>60</v>
      </c>
      <c r="E23" s="229" t="s">
        <v>3021</v>
      </c>
      <c r="F23" s="211" t="s">
        <v>3024</v>
      </c>
      <c r="G23" s="328" t="s">
        <v>2610</v>
      </c>
      <c r="H23" s="381" t="s">
        <v>1158</v>
      </c>
      <c r="I23" s="381"/>
      <c r="J23" s="381"/>
      <c r="K23" s="319"/>
      <c r="L23" s="320"/>
      <c r="M23" s="320"/>
      <c r="N23" s="320"/>
      <c r="O23" s="320"/>
      <c r="P23" s="320"/>
      <c r="Q23" s="320"/>
      <c r="R23" s="320"/>
      <c r="S23" s="320"/>
      <c r="T23" s="320"/>
      <c r="U23" s="319"/>
      <c r="V23" s="324"/>
      <c r="W23" s="319"/>
      <c r="X23" s="324"/>
      <c r="Y23" s="322"/>
      <c r="Z23" s="324"/>
      <c r="AA23" s="319"/>
      <c r="AB23" s="381"/>
      <c r="AC23" s="381"/>
      <c r="AD23" s="328"/>
      <c r="AE23" s="381"/>
      <c r="AF23" s="381"/>
      <c r="AG23" s="381"/>
      <c r="AH23" s="381"/>
      <c r="AI23" s="381"/>
      <c r="AJ23" s="381"/>
      <c r="AK23" s="381"/>
      <c r="AL23" s="322"/>
      <c r="AM23" s="381"/>
      <c r="AN23" s="381"/>
      <c r="AO23" s="381"/>
      <c r="AP23" s="381"/>
      <c r="AQ23" s="381"/>
      <c r="AR23" s="159">
        <v>196.07</v>
      </c>
      <c r="AS23" s="330">
        <v>4.5</v>
      </c>
      <c r="AT23" s="330">
        <v>5.55</v>
      </c>
      <c r="AU23" s="330">
        <v>3.75</v>
      </c>
      <c r="AV23" s="330"/>
      <c r="AW23" s="191"/>
      <c r="AX23" s="196" t="s">
        <v>3039</v>
      </c>
      <c r="AY23" s="196" t="s">
        <v>3040</v>
      </c>
      <c r="AZ23" s="327"/>
      <c r="BA23" s="327"/>
      <c r="BB23" s="327"/>
      <c r="BC23" s="327"/>
      <c r="BD23" s="327"/>
      <c r="BE23" s="384"/>
      <c r="BF23" s="478" t="s">
        <v>3038</v>
      </c>
      <c r="BG23" s="479"/>
      <c r="BH23" s="479"/>
      <c r="BI23" s="479"/>
      <c r="BJ23" s="480"/>
      <c r="BK23" s="163">
        <v>14.59</v>
      </c>
      <c r="BL23" s="163">
        <v>9.7100000000000009</v>
      </c>
      <c r="BM23" s="163">
        <v>11.74</v>
      </c>
      <c r="BN23" s="163">
        <f t="shared" si="12"/>
        <v>0.96249588310185186</v>
      </c>
      <c r="BO23" s="379">
        <v>1.34</v>
      </c>
      <c r="BP23" s="380">
        <v>11.6</v>
      </c>
      <c r="BQ23" s="380">
        <f t="shared" ref="BQ23:BQ24" si="14">(BP23*BS23)+BO23</f>
        <v>12.94</v>
      </c>
      <c r="BR23" s="334" t="s">
        <v>733</v>
      </c>
      <c r="BS23" s="334">
        <v>1</v>
      </c>
      <c r="BT23" s="334">
        <v>12</v>
      </c>
      <c r="BU23" s="334">
        <v>3</v>
      </c>
      <c r="BV23" s="334">
        <f t="shared" ref="BV23:BV25" si="15">BS23*BT23*BU23</f>
        <v>36</v>
      </c>
      <c r="BW23" s="189">
        <f t="shared" si="13"/>
        <v>515.84</v>
      </c>
      <c r="BX23" s="334" t="s">
        <v>890</v>
      </c>
      <c r="BY23" s="154" t="s">
        <v>783</v>
      </c>
      <c r="BZ23" s="331"/>
      <c r="CA23" s="331"/>
      <c r="CB23" s="331"/>
      <c r="CC23" s="331"/>
      <c r="CD23" s="331"/>
    </row>
    <row r="24" spans="1:82" s="316" customFormat="1" x14ac:dyDescent="0.25">
      <c r="A24" s="376">
        <v>42902</v>
      </c>
      <c r="B24" s="229" t="s">
        <v>14</v>
      </c>
      <c r="C24" s="229" t="s">
        <v>3025</v>
      </c>
      <c r="D24" s="229"/>
      <c r="E24" s="229" t="s">
        <v>3021</v>
      </c>
      <c r="F24" s="211" t="s">
        <v>3026</v>
      </c>
      <c r="G24" s="328" t="s">
        <v>1355</v>
      </c>
      <c r="H24" s="381" t="s">
        <v>1158</v>
      </c>
      <c r="I24" s="381"/>
      <c r="J24" s="381"/>
      <c r="K24" s="319"/>
      <c r="L24" s="320"/>
      <c r="M24" s="320"/>
      <c r="N24" s="320"/>
      <c r="O24" s="320"/>
      <c r="P24" s="320"/>
      <c r="Q24" s="320"/>
      <c r="R24" s="320"/>
      <c r="S24" s="320"/>
      <c r="T24" s="320"/>
      <c r="U24" s="319"/>
      <c r="V24" s="324"/>
      <c r="W24" s="319"/>
      <c r="X24" s="324"/>
      <c r="Y24" s="322"/>
      <c r="Z24" s="324"/>
      <c r="AA24" s="319"/>
      <c r="AB24" s="381"/>
      <c r="AC24" s="381"/>
      <c r="AD24" s="328"/>
      <c r="AE24" s="381"/>
      <c r="AF24" s="381"/>
      <c r="AG24" s="381"/>
      <c r="AH24" s="381"/>
      <c r="AI24" s="381"/>
      <c r="AJ24" s="381"/>
      <c r="AK24" s="381"/>
      <c r="AL24" s="322"/>
      <c r="AM24" s="381"/>
      <c r="AN24" s="381"/>
      <c r="AO24" s="381"/>
      <c r="AP24" s="381"/>
      <c r="AQ24" s="381"/>
      <c r="AR24" s="159">
        <v>74.239999999999995</v>
      </c>
      <c r="AS24" s="330">
        <v>4</v>
      </c>
      <c r="AT24" s="330">
        <v>5</v>
      </c>
      <c r="AU24" s="330">
        <v>3.4</v>
      </c>
      <c r="AV24" s="330"/>
      <c r="AW24" s="191"/>
      <c r="AX24" s="196" t="s">
        <v>3041</v>
      </c>
      <c r="AY24" s="196" t="s">
        <v>3042</v>
      </c>
      <c r="AZ24" s="327"/>
      <c r="BA24" s="327"/>
      <c r="BB24" s="327"/>
      <c r="BC24" s="327"/>
      <c r="BD24" s="327"/>
      <c r="BE24" s="384"/>
      <c r="BF24" s="478" t="s">
        <v>3038</v>
      </c>
      <c r="BG24" s="479"/>
      <c r="BH24" s="479"/>
      <c r="BI24" s="479"/>
      <c r="BJ24" s="480"/>
      <c r="BK24" s="163">
        <v>9.09</v>
      </c>
      <c r="BL24" s="163">
        <v>9.09</v>
      </c>
      <c r="BM24" s="163">
        <v>11.93</v>
      </c>
      <c r="BN24" s="163">
        <f t="shared" si="12"/>
        <v>0.57045904687500004</v>
      </c>
      <c r="BO24" s="379">
        <v>1</v>
      </c>
      <c r="BP24" s="380">
        <v>9.4</v>
      </c>
      <c r="BQ24" s="380">
        <f t="shared" si="14"/>
        <v>10.4</v>
      </c>
      <c r="BR24" s="334" t="s">
        <v>733</v>
      </c>
      <c r="BS24" s="334">
        <v>1</v>
      </c>
      <c r="BT24" s="334">
        <v>20</v>
      </c>
      <c r="BU24" s="334">
        <v>3</v>
      </c>
      <c r="BV24" s="334">
        <f t="shared" si="15"/>
        <v>60</v>
      </c>
      <c r="BW24" s="189">
        <f t="shared" si="13"/>
        <v>674</v>
      </c>
      <c r="BX24" s="334" t="s">
        <v>890</v>
      </c>
      <c r="BY24" s="154" t="s">
        <v>783</v>
      </c>
      <c r="BZ24" s="331"/>
      <c r="CA24" s="331"/>
      <c r="CB24" s="331"/>
      <c r="CC24" s="331"/>
      <c r="CD24" s="331"/>
    </row>
    <row r="25" spans="1:82" s="316" customFormat="1" x14ac:dyDescent="0.25">
      <c r="A25" s="376">
        <v>42902</v>
      </c>
      <c r="B25" s="229" t="s">
        <v>14</v>
      </c>
      <c r="C25" s="285" t="s">
        <v>3045</v>
      </c>
      <c r="D25" s="229"/>
      <c r="E25" s="387" t="s">
        <v>3047</v>
      </c>
      <c r="F25" s="211" t="s">
        <v>3027</v>
      </c>
      <c r="G25" s="328" t="s">
        <v>2463</v>
      </c>
      <c r="H25" s="319">
        <v>1561200</v>
      </c>
      <c r="I25" s="381"/>
      <c r="J25" s="381"/>
      <c r="K25" s="319"/>
      <c r="L25" s="320"/>
      <c r="M25" s="320"/>
      <c r="N25" s="320"/>
      <c r="O25" s="230"/>
      <c r="P25" s="230"/>
      <c r="Q25" s="230"/>
      <c r="R25" s="230"/>
      <c r="S25" s="230"/>
      <c r="T25" s="230"/>
      <c r="U25" s="319" t="s">
        <v>3028</v>
      </c>
      <c r="V25" s="324"/>
      <c r="W25" s="319"/>
      <c r="X25" s="324"/>
      <c r="Y25" s="322" t="s">
        <v>3029</v>
      </c>
      <c r="Z25" s="324"/>
      <c r="AA25" s="319" t="s">
        <v>3030</v>
      </c>
      <c r="AB25" s="381" t="s">
        <v>3031</v>
      </c>
      <c r="AC25" s="381"/>
      <c r="AD25" s="328"/>
      <c r="AE25" s="381"/>
      <c r="AF25" s="381"/>
      <c r="AG25" s="381"/>
      <c r="AH25" s="381"/>
      <c r="AI25" s="381"/>
      <c r="AJ25" s="381"/>
      <c r="AK25" s="381"/>
      <c r="AL25" s="322"/>
      <c r="AM25" s="381"/>
      <c r="AN25" s="381"/>
      <c r="AO25" s="381"/>
      <c r="AP25" s="381"/>
      <c r="AQ25" s="381" t="s">
        <v>3032</v>
      </c>
      <c r="AR25" s="159">
        <v>21.3</v>
      </c>
      <c r="AS25" s="330">
        <v>0.5</v>
      </c>
      <c r="AT25" s="330">
        <v>0.55000000000000004</v>
      </c>
      <c r="AU25" s="330">
        <v>0.35</v>
      </c>
      <c r="AV25" s="330"/>
      <c r="AW25" s="191"/>
      <c r="AX25" s="385" t="s">
        <v>3043</v>
      </c>
      <c r="AY25" s="385" t="s">
        <v>3044</v>
      </c>
      <c r="AZ25" s="327"/>
      <c r="BA25" s="327"/>
      <c r="BB25" s="327"/>
      <c r="BC25" s="382">
        <v>3.27</v>
      </c>
      <c r="BD25" s="382">
        <v>5.29</v>
      </c>
      <c r="BE25" s="144"/>
      <c r="BF25" s="353">
        <v>3.81</v>
      </c>
      <c r="BG25" s="353">
        <v>3.81</v>
      </c>
      <c r="BH25" s="353">
        <v>5.37</v>
      </c>
      <c r="BI25" s="350">
        <v>4.5999999999999999E-2</v>
      </c>
      <c r="BJ25" s="340">
        <v>0.08</v>
      </c>
      <c r="BK25" s="349">
        <v>11.92</v>
      </c>
      <c r="BL25" s="349">
        <v>7.99</v>
      </c>
      <c r="BM25" s="349">
        <v>5.98</v>
      </c>
      <c r="BN25" s="163">
        <f t="shared" si="12"/>
        <v>0.32959489814814824</v>
      </c>
      <c r="BO25" s="341">
        <v>0.42</v>
      </c>
      <c r="BP25" s="341">
        <v>0.64200000000000002</v>
      </c>
      <c r="BQ25" s="380">
        <f>((BJ25+BP25)*BS25)+BO25</f>
        <v>4.7519999999999998</v>
      </c>
      <c r="BR25" s="323" t="s">
        <v>733</v>
      </c>
      <c r="BS25" s="383">
        <v>6</v>
      </c>
      <c r="BT25" s="383">
        <v>20</v>
      </c>
      <c r="BU25" s="383">
        <v>7</v>
      </c>
      <c r="BV25" s="334">
        <f t="shared" si="15"/>
        <v>840</v>
      </c>
      <c r="BW25" s="189">
        <f t="shared" si="13"/>
        <v>715.28</v>
      </c>
      <c r="BX25" s="321" t="s">
        <v>890</v>
      </c>
      <c r="BY25" s="154" t="s">
        <v>783</v>
      </c>
      <c r="BZ25" s="331"/>
      <c r="CA25" s="331"/>
      <c r="CB25" s="331"/>
      <c r="CC25" s="331"/>
      <c r="CD25" s="331"/>
    </row>
    <row r="26" spans="1:82" s="316" customFormat="1" ht="30" x14ac:dyDescent="0.25">
      <c r="A26" s="376">
        <v>42888</v>
      </c>
      <c r="B26" s="229" t="s">
        <v>14</v>
      </c>
      <c r="C26" s="229" t="s">
        <v>2978</v>
      </c>
      <c r="D26" s="229" t="s">
        <v>60</v>
      </c>
      <c r="E26" s="388" t="s">
        <v>3049</v>
      </c>
      <c r="F26" s="239" t="s">
        <v>2979</v>
      </c>
      <c r="G26" s="328" t="s">
        <v>1505</v>
      </c>
      <c r="H26" s="319" t="s">
        <v>1158</v>
      </c>
      <c r="I26" s="375"/>
      <c r="J26" s="375"/>
      <c r="K26" s="319"/>
      <c r="L26" s="320"/>
      <c r="M26" s="320"/>
      <c r="N26" s="320"/>
      <c r="O26" s="230"/>
      <c r="P26" s="230"/>
      <c r="Q26" s="230"/>
      <c r="R26" s="230"/>
      <c r="S26" s="230"/>
      <c r="T26" s="230"/>
      <c r="U26" s="319"/>
      <c r="V26" s="324"/>
      <c r="W26" s="319"/>
      <c r="X26" s="324"/>
      <c r="Y26" s="322"/>
      <c r="Z26" s="324"/>
      <c r="AA26" s="319"/>
      <c r="AB26" s="375"/>
      <c r="AC26" s="375"/>
      <c r="AD26" s="328"/>
      <c r="AE26" s="375"/>
      <c r="AF26" s="375"/>
      <c r="AG26" s="375"/>
      <c r="AH26" s="375"/>
      <c r="AI26" s="375"/>
      <c r="AJ26" s="375"/>
      <c r="AK26" s="375"/>
      <c r="AL26" s="322"/>
      <c r="AM26" s="375"/>
      <c r="AN26" s="375"/>
      <c r="AO26" s="375"/>
      <c r="AP26" s="375"/>
      <c r="AQ26" s="375"/>
      <c r="AR26" s="369">
        <v>74.209999999999994</v>
      </c>
      <c r="AS26" s="330">
        <v>1</v>
      </c>
      <c r="AT26" s="330">
        <v>1.1000000000000001</v>
      </c>
      <c r="AU26" s="330">
        <v>0.7</v>
      </c>
      <c r="AV26" s="330"/>
      <c r="AW26" s="191"/>
      <c r="AX26" s="196" t="s">
        <v>3004</v>
      </c>
      <c r="AY26" s="196" t="s">
        <v>3005</v>
      </c>
      <c r="AZ26" s="327"/>
      <c r="BA26" s="327"/>
      <c r="BB26" s="327"/>
      <c r="BC26" s="327"/>
      <c r="BD26" s="327"/>
      <c r="BE26" s="378">
        <v>3.18</v>
      </c>
      <c r="BF26" s="478" t="s">
        <v>3006</v>
      </c>
      <c r="BG26" s="479"/>
      <c r="BH26" s="479"/>
      <c r="BI26" s="479"/>
      <c r="BJ26" s="480"/>
      <c r="BK26" s="163">
        <v>8.99</v>
      </c>
      <c r="BL26" s="163">
        <v>8.99</v>
      </c>
      <c r="BM26" s="163">
        <v>8.85</v>
      </c>
      <c r="BN26" s="163">
        <f>(BM26*BL26*BK26)/1728</f>
        <v>0.41392238715277779</v>
      </c>
      <c r="BO26" s="379">
        <f>0.48+0.1</f>
        <v>0.57999999999999996</v>
      </c>
      <c r="BP26" s="380">
        <f>BE26</f>
        <v>3.18</v>
      </c>
      <c r="BQ26" s="380">
        <f>(BE26*BS26)+BO26</f>
        <v>3.7600000000000002</v>
      </c>
      <c r="BR26" s="334" t="s">
        <v>733</v>
      </c>
      <c r="BS26" s="334">
        <v>1</v>
      </c>
      <c r="BT26" s="334">
        <v>20</v>
      </c>
      <c r="BU26" s="334">
        <v>5</v>
      </c>
      <c r="BV26" s="334">
        <f>BS26*BT26*BU26</f>
        <v>100</v>
      </c>
      <c r="BW26" s="189">
        <f>((((BE26+BJ26)*BS26)+BO26)*BT26*BU26)+50</f>
        <v>426</v>
      </c>
      <c r="BX26" s="334" t="s">
        <v>890</v>
      </c>
      <c r="BY26" s="154" t="s">
        <v>783</v>
      </c>
      <c r="BZ26" s="331"/>
      <c r="CA26" s="331"/>
      <c r="CB26" s="331"/>
    </row>
    <row r="27" spans="1:82" s="316" customFormat="1" x14ac:dyDescent="0.25">
      <c r="A27" s="376">
        <v>42888</v>
      </c>
      <c r="B27" s="229" t="s">
        <v>14</v>
      </c>
      <c r="C27" s="229" t="s">
        <v>2980</v>
      </c>
      <c r="D27" s="229" t="s">
        <v>60</v>
      </c>
      <c r="E27" s="229" t="s">
        <v>2981</v>
      </c>
      <c r="F27" s="211" t="s">
        <v>2982</v>
      </c>
      <c r="G27" s="328" t="s">
        <v>2983</v>
      </c>
      <c r="H27" s="377" t="s">
        <v>2984</v>
      </c>
      <c r="I27" s="375"/>
      <c r="J27" s="375"/>
      <c r="K27" s="319"/>
      <c r="L27" s="320"/>
      <c r="M27" s="320"/>
      <c r="N27" s="320"/>
      <c r="O27" s="230"/>
      <c r="P27" s="230"/>
      <c r="Q27" s="230"/>
      <c r="R27" s="230"/>
      <c r="S27" s="230"/>
      <c r="T27" s="230"/>
      <c r="U27" s="319" t="s">
        <v>2993</v>
      </c>
      <c r="V27" s="324"/>
      <c r="W27" s="319">
        <v>93060</v>
      </c>
      <c r="X27" s="324"/>
      <c r="Y27" s="322" t="s">
        <v>2994</v>
      </c>
      <c r="Z27" s="324"/>
      <c r="AA27" s="319" t="s">
        <v>2995</v>
      </c>
      <c r="AB27" s="375"/>
      <c r="AC27" s="375" t="s">
        <v>2996</v>
      </c>
      <c r="AD27" s="328"/>
      <c r="AE27" s="375"/>
      <c r="AF27" s="375"/>
      <c r="AG27" s="375"/>
      <c r="AH27" s="375"/>
      <c r="AI27" s="375"/>
      <c r="AJ27" s="375"/>
      <c r="AK27" s="375">
        <v>500060</v>
      </c>
      <c r="AL27" s="322"/>
      <c r="AM27" s="375"/>
      <c r="AN27" s="375"/>
      <c r="AO27" s="375"/>
      <c r="AP27" s="375"/>
      <c r="AQ27" s="375" t="s">
        <v>2997</v>
      </c>
      <c r="AR27" s="369">
        <v>44.16</v>
      </c>
      <c r="AS27" s="191"/>
      <c r="AT27" s="191"/>
      <c r="AU27" s="191"/>
      <c r="AV27" s="191"/>
      <c r="AW27" s="191"/>
      <c r="AX27" s="196" t="s">
        <v>3007</v>
      </c>
      <c r="AY27" s="196" t="s">
        <v>3008</v>
      </c>
      <c r="AZ27" s="327"/>
      <c r="BA27" s="327"/>
      <c r="BB27" s="327"/>
      <c r="BC27" s="374">
        <v>7.3</v>
      </c>
      <c r="BD27" s="374">
        <v>11.365</v>
      </c>
      <c r="BE27" s="378">
        <v>0.95</v>
      </c>
      <c r="BF27" s="478" t="s">
        <v>3009</v>
      </c>
      <c r="BG27" s="479"/>
      <c r="BH27" s="479"/>
      <c r="BI27" s="479"/>
      <c r="BJ27" s="480"/>
      <c r="BK27" s="163">
        <v>11.86</v>
      </c>
      <c r="BL27" s="163">
        <v>7.86</v>
      </c>
      <c r="BM27" s="163">
        <v>7.98</v>
      </c>
      <c r="BN27" s="163">
        <f>(BM27*BL27*BK27)/1728</f>
        <v>0.43049329166666667</v>
      </c>
      <c r="BO27" s="379">
        <v>0.44</v>
      </c>
      <c r="BP27" s="380">
        <f>BE27</f>
        <v>0.95</v>
      </c>
      <c r="BQ27" s="380">
        <f>(BE27*BS27)+BO27</f>
        <v>1.39</v>
      </c>
      <c r="BR27" s="334" t="s">
        <v>733</v>
      </c>
      <c r="BS27" s="334">
        <v>1</v>
      </c>
      <c r="BT27" s="334">
        <v>30</v>
      </c>
      <c r="BU27" s="334">
        <v>3</v>
      </c>
      <c r="BV27" s="334">
        <f>BS27*BT27*BU27</f>
        <v>90</v>
      </c>
      <c r="BW27" s="189">
        <f>((((BE27+BJ27)*BS27)+BO27)*BT27*BU27)+50</f>
        <v>175.1</v>
      </c>
      <c r="BX27" s="334" t="s">
        <v>890</v>
      </c>
      <c r="BY27" s="154" t="s">
        <v>735</v>
      </c>
      <c r="BZ27" s="331"/>
      <c r="CA27" s="331"/>
      <c r="CB27" s="331"/>
      <c r="CC27" s="331"/>
      <c r="CD27" s="331"/>
    </row>
    <row r="28" spans="1:82" s="316" customFormat="1" ht="30" x14ac:dyDescent="0.25">
      <c r="A28" s="376">
        <v>42888</v>
      </c>
      <c r="B28" s="229" t="s">
        <v>14</v>
      </c>
      <c r="C28" s="229" t="s">
        <v>2985</v>
      </c>
      <c r="D28" s="229" t="s">
        <v>60</v>
      </c>
      <c r="E28" s="332" t="s">
        <v>2986</v>
      </c>
      <c r="F28" s="211" t="s">
        <v>2987</v>
      </c>
      <c r="G28" s="328" t="s">
        <v>2988</v>
      </c>
      <c r="H28" s="375">
        <v>87404270</v>
      </c>
      <c r="I28" s="375" t="s">
        <v>749</v>
      </c>
      <c r="J28" s="375" t="s">
        <v>2989</v>
      </c>
      <c r="K28" s="319" t="s">
        <v>2463</v>
      </c>
      <c r="L28" s="320" t="s">
        <v>2990</v>
      </c>
      <c r="M28" s="320" t="s">
        <v>2991</v>
      </c>
      <c r="N28" s="320">
        <v>961416</v>
      </c>
      <c r="O28" s="320" t="s">
        <v>1528</v>
      </c>
      <c r="P28" s="320">
        <v>3013210</v>
      </c>
      <c r="Q28" s="320" t="s">
        <v>903</v>
      </c>
      <c r="R28" s="320" t="s">
        <v>2992</v>
      </c>
      <c r="S28" s="320" t="s">
        <v>2471</v>
      </c>
      <c r="T28" s="320">
        <v>35123512</v>
      </c>
      <c r="U28" s="319" t="s">
        <v>2998</v>
      </c>
      <c r="V28" s="324"/>
      <c r="W28" s="319">
        <v>87546</v>
      </c>
      <c r="X28" s="324"/>
      <c r="Y28" s="322" t="s">
        <v>2999</v>
      </c>
      <c r="Z28" s="324"/>
      <c r="AA28" s="319" t="s">
        <v>3000</v>
      </c>
      <c r="AB28" s="375" t="s">
        <v>3001</v>
      </c>
      <c r="AC28" s="375"/>
      <c r="AD28" s="328"/>
      <c r="AE28" s="375"/>
      <c r="AF28" s="375"/>
      <c r="AG28" s="375"/>
      <c r="AH28" s="375"/>
      <c r="AI28" s="375"/>
      <c r="AJ28" s="375"/>
      <c r="AK28" s="375" t="s">
        <v>3002</v>
      </c>
      <c r="AL28" s="322"/>
      <c r="AM28" s="375"/>
      <c r="AN28" s="375"/>
      <c r="AO28" s="375"/>
      <c r="AP28" s="375"/>
      <c r="AQ28" s="375" t="s">
        <v>3003</v>
      </c>
      <c r="AR28" s="369">
        <v>174.55</v>
      </c>
      <c r="AS28" s="191"/>
      <c r="AT28" s="191"/>
      <c r="AU28" s="191"/>
      <c r="AV28" s="191"/>
      <c r="AW28" s="191"/>
      <c r="AX28" s="196" t="s">
        <v>3010</v>
      </c>
      <c r="AY28" s="196" t="s">
        <v>3011</v>
      </c>
      <c r="AZ28" s="327"/>
      <c r="BA28" s="327"/>
      <c r="BB28" s="327"/>
      <c r="BC28" s="374">
        <v>12.75</v>
      </c>
      <c r="BD28" s="374">
        <v>24.06</v>
      </c>
      <c r="BE28" s="378">
        <v>9.3800000000000008</v>
      </c>
      <c r="BF28" s="478" t="s">
        <v>3009</v>
      </c>
      <c r="BG28" s="479"/>
      <c r="BH28" s="479"/>
      <c r="BI28" s="479"/>
      <c r="BJ28" s="480"/>
      <c r="BK28" s="163">
        <v>25.52</v>
      </c>
      <c r="BL28" s="163">
        <v>14.22</v>
      </c>
      <c r="BM28" s="163">
        <v>14.56</v>
      </c>
      <c r="BN28" s="163">
        <f>(BM28*BL28*BK28)/1728</f>
        <v>3.0577213333333333</v>
      </c>
      <c r="BO28" s="379">
        <v>2.75</v>
      </c>
      <c r="BP28" s="380">
        <f>BE28</f>
        <v>9.3800000000000008</v>
      </c>
      <c r="BQ28" s="380">
        <f>(BE28*BS28)+BO28</f>
        <v>12.13</v>
      </c>
      <c r="BR28" s="334" t="s">
        <v>733</v>
      </c>
      <c r="BS28" s="334">
        <v>1</v>
      </c>
      <c r="BT28" s="334">
        <v>6</v>
      </c>
      <c r="BU28" s="334">
        <v>1</v>
      </c>
      <c r="BV28" s="334">
        <f>BS28*BT28*BU28</f>
        <v>6</v>
      </c>
      <c r="BW28" s="189">
        <f>((((BE28+BJ28)*BS28)+BO28)*BT28*BU28)+50</f>
        <v>122.78</v>
      </c>
      <c r="BX28" s="334" t="s">
        <v>890</v>
      </c>
      <c r="BY28" s="154" t="s">
        <v>735</v>
      </c>
      <c r="BZ28" s="331"/>
      <c r="CA28" s="331"/>
      <c r="CB28" s="331"/>
      <c r="CC28" s="331"/>
      <c r="CD28" s="331"/>
    </row>
    <row r="29" spans="1:82" s="316" customFormat="1" x14ac:dyDescent="0.25">
      <c r="A29" s="345">
        <v>42781</v>
      </c>
      <c r="B29" s="216" t="s">
        <v>14</v>
      </c>
      <c r="C29" s="216" t="s">
        <v>2895</v>
      </c>
      <c r="D29" s="216" t="s">
        <v>746</v>
      </c>
      <c r="E29" s="216" t="s">
        <v>934</v>
      </c>
      <c r="F29" s="211" t="s">
        <v>2896</v>
      </c>
      <c r="G29" s="328" t="s">
        <v>967</v>
      </c>
      <c r="H29" s="319" t="s">
        <v>2897</v>
      </c>
      <c r="I29" s="361"/>
      <c r="J29" s="361"/>
      <c r="K29" s="319"/>
      <c r="L29" s="320"/>
      <c r="M29" s="320"/>
      <c r="N29" s="320"/>
      <c r="O29" s="230"/>
      <c r="P29" s="230"/>
      <c r="Q29" s="230"/>
      <c r="R29" s="230"/>
      <c r="S29" s="230"/>
      <c r="T29" s="230"/>
      <c r="U29" s="319"/>
      <c r="V29" s="324"/>
      <c r="W29" s="319"/>
      <c r="X29" s="324"/>
      <c r="Y29" s="322"/>
      <c r="Z29" s="324"/>
      <c r="AA29" s="319"/>
      <c r="AB29" s="361"/>
      <c r="AC29" s="361"/>
      <c r="AD29" s="328"/>
      <c r="AE29" s="361" t="s">
        <v>2898</v>
      </c>
      <c r="AF29" s="361"/>
      <c r="AG29" s="361"/>
      <c r="AH29" s="361"/>
      <c r="AI29" s="361"/>
      <c r="AJ29" s="361"/>
      <c r="AK29" s="361"/>
      <c r="AL29" s="322"/>
      <c r="AM29" s="361"/>
      <c r="AN29" s="361"/>
      <c r="AO29" s="361"/>
      <c r="AP29" s="361"/>
      <c r="AQ29" s="361" t="s">
        <v>2899</v>
      </c>
      <c r="AR29" s="369">
        <v>31.42</v>
      </c>
      <c r="AS29" s="191"/>
      <c r="AT29" s="191"/>
      <c r="AU29" s="191"/>
      <c r="AV29" s="191"/>
      <c r="AW29" s="191"/>
      <c r="AX29" s="370" t="s">
        <v>2958</v>
      </c>
      <c r="AY29" s="370" t="s">
        <v>2959</v>
      </c>
      <c r="AZ29" s="305">
        <v>9.17</v>
      </c>
      <c r="BA29" s="305">
        <v>5.57</v>
      </c>
      <c r="BB29" s="305">
        <v>2.2200000000000002</v>
      </c>
      <c r="BC29" s="363"/>
      <c r="BD29" s="363"/>
      <c r="BE29" s="306">
        <v>0.39</v>
      </c>
      <c r="BF29" s="307">
        <v>7.0359999999999996</v>
      </c>
      <c r="BG29" s="307">
        <v>2.536</v>
      </c>
      <c r="BH29" s="307">
        <v>11.821999999999999</v>
      </c>
      <c r="BI29" s="308">
        <v>0.12207375307407406</v>
      </c>
      <c r="BJ29" s="306">
        <v>0.19</v>
      </c>
      <c r="BK29" s="309">
        <v>12.25</v>
      </c>
      <c r="BL29" s="309">
        <v>7.5</v>
      </c>
      <c r="BM29" s="309">
        <v>8.5</v>
      </c>
      <c r="BN29" s="309">
        <v>0.4519314236111111</v>
      </c>
      <c r="BO29" s="314">
        <v>0.44</v>
      </c>
      <c r="BP29" s="314">
        <v>0.58000000000000007</v>
      </c>
      <c r="BQ29" s="314">
        <v>2.1800000000000002</v>
      </c>
      <c r="BR29" s="268" t="s">
        <v>733</v>
      </c>
      <c r="BS29" s="361">
        <v>3</v>
      </c>
      <c r="BT29" s="361">
        <v>20</v>
      </c>
      <c r="BU29" s="361">
        <v>5</v>
      </c>
      <c r="BV29" s="215">
        <v>300</v>
      </c>
      <c r="BW29" s="311">
        <v>268</v>
      </c>
      <c r="BX29" s="215" t="s">
        <v>743</v>
      </c>
      <c r="BY29" s="270" t="s">
        <v>735</v>
      </c>
      <c r="BZ29" s="331"/>
      <c r="CA29" s="331"/>
      <c r="CB29" s="331"/>
    </row>
    <row r="30" spans="1:82" s="316" customFormat="1" ht="30" x14ac:dyDescent="0.25">
      <c r="A30" s="345">
        <v>42781</v>
      </c>
      <c r="B30" s="216" t="s">
        <v>14</v>
      </c>
      <c r="C30" s="216" t="s">
        <v>2900</v>
      </c>
      <c r="D30" s="216" t="s">
        <v>746</v>
      </c>
      <c r="E30" s="216" t="s">
        <v>991</v>
      </c>
      <c r="F30" s="211" t="s">
        <v>2901</v>
      </c>
      <c r="G30" s="328" t="s">
        <v>903</v>
      </c>
      <c r="H30" s="319" t="s">
        <v>2902</v>
      </c>
      <c r="I30" s="361"/>
      <c r="J30" s="361"/>
      <c r="K30" s="319"/>
      <c r="L30" s="320"/>
      <c r="M30" s="320"/>
      <c r="N30" s="320"/>
      <c r="O30" s="230"/>
      <c r="P30" s="230"/>
      <c r="Q30" s="230"/>
      <c r="R30" s="230"/>
      <c r="S30" s="230"/>
      <c r="T30" s="230"/>
      <c r="U30" s="319"/>
      <c r="V30" s="324"/>
      <c r="W30" s="319"/>
      <c r="X30" s="324"/>
      <c r="Y30" s="322"/>
      <c r="Z30" s="324"/>
      <c r="AA30" s="319"/>
      <c r="AB30" s="361" t="s">
        <v>2903</v>
      </c>
      <c r="AC30" s="361"/>
      <c r="AD30" s="328"/>
      <c r="AE30" s="361"/>
      <c r="AF30" s="361"/>
      <c r="AG30" s="361"/>
      <c r="AH30" s="361"/>
      <c r="AI30" s="361"/>
      <c r="AJ30" s="361"/>
      <c r="AK30" s="361"/>
      <c r="AL30" s="322"/>
      <c r="AM30" s="361" t="s">
        <v>2904</v>
      </c>
      <c r="AN30" s="361" t="s">
        <v>2905</v>
      </c>
      <c r="AO30" s="361"/>
      <c r="AP30" s="361"/>
      <c r="AQ30" s="361" t="s">
        <v>2906</v>
      </c>
      <c r="AR30" s="369">
        <v>12.3</v>
      </c>
      <c r="AS30" s="191"/>
      <c r="AT30" s="191"/>
      <c r="AU30" s="191"/>
      <c r="AV30" s="191"/>
      <c r="AW30" s="191"/>
      <c r="AX30" s="370" t="s">
        <v>2960</v>
      </c>
      <c r="AY30" s="370" t="s">
        <v>2961</v>
      </c>
      <c r="AZ30" s="305">
        <v>10.27</v>
      </c>
      <c r="BA30" s="305">
        <v>6.65</v>
      </c>
      <c r="BB30" s="305">
        <v>2.06</v>
      </c>
      <c r="BC30" s="363"/>
      <c r="BD30" s="363"/>
      <c r="BE30" s="306">
        <v>1.01</v>
      </c>
      <c r="BF30" s="307">
        <v>9.17</v>
      </c>
      <c r="BG30" s="307">
        <v>2.4369999999999998</v>
      </c>
      <c r="BH30" s="307">
        <v>11.803999999999998</v>
      </c>
      <c r="BI30" s="308">
        <v>0.15265475182870367</v>
      </c>
      <c r="BJ30" s="306">
        <v>0.1</v>
      </c>
      <c r="BK30" s="309">
        <v>15.407</v>
      </c>
      <c r="BL30" s="309">
        <v>12.651</v>
      </c>
      <c r="BM30" s="309">
        <v>10.146000000000001</v>
      </c>
      <c r="BN30" s="309">
        <v>1.1444427128020833</v>
      </c>
      <c r="BO30" s="314">
        <v>0.25</v>
      </c>
      <c r="BP30" s="314">
        <v>1.1100000000000001</v>
      </c>
      <c r="BQ30" s="314">
        <v>6.91</v>
      </c>
      <c r="BR30" s="268" t="s">
        <v>733</v>
      </c>
      <c r="BS30" s="361">
        <v>6</v>
      </c>
      <c r="BT30" s="361">
        <v>10</v>
      </c>
      <c r="BU30" s="361">
        <v>3</v>
      </c>
      <c r="BV30" s="215">
        <v>180</v>
      </c>
      <c r="BW30" s="311">
        <v>257.29999999999995</v>
      </c>
      <c r="BX30" s="215" t="s">
        <v>743</v>
      </c>
      <c r="BY30" s="270" t="s">
        <v>735</v>
      </c>
      <c r="BZ30" s="331"/>
      <c r="CA30" s="331"/>
      <c r="CB30" s="331"/>
      <c r="CC30" s="331"/>
      <c r="CD30" s="331"/>
    </row>
    <row r="31" spans="1:82" s="316" customFormat="1" x14ac:dyDescent="0.25">
      <c r="A31" s="345">
        <v>42781</v>
      </c>
      <c r="B31" s="216" t="s">
        <v>14</v>
      </c>
      <c r="C31" s="216" t="s">
        <v>2907</v>
      </c>
      <c r="D31" s="216" t="s">
        <v>746</v>
      </c>
      <c r="E31" s="216" t="s">
        <v>737</v>
      </c>
      <c r="F31" s="211" t="s">
        <v>2908</v>
      </c>
      <c r="G31" s="328" t="s">
        <v>903</v>
      </c>
      <c r="H31" s="361" t="s">
        <v>2909</v>
      </c>
      <c r="I31" s="361"/>
      <c r="J31" s="361"/>
      <c r="K31" s="319"/>
      <c r="L31" s="320"/>
      <c r="M31" s="320"/>
      <c r="N31" s="320"/>
      <c r="O31" s="230"/>
      <c r="P31" s="230"/>
      <c r="Q31" s="230"/>
      <c r="R31" s="230"/>
      <c r="S31" s="230"/>
      <c r="T31" s="230"/>
      <c r="U31" s="319"/>
      <c r="V31" s="324"/>
      <c r="W31" s="319"/>
      <c r="X31" s="324"/>
      <c r="Y31" s="322"/>
      <c r="Z31" s="324"/>
      <c r="AA31" s="319"/>
      <c r="AB31" s="361"/>
      <c r="AC31" s="361"/>
      <c r="AD31" s="328"/>
      <c r="AE31" s="361"/>
      <c r="AF31" s="361"/>
      <c r="AG31" s="361"/>
      <c r="AH31" s="361"/>
      <c r="AI31" s="361"/>
      <c r="AJ31" s="361"/>
      <c r="AK31" s="361"/>
      <c r="AL31" s="322"/>
      <c r="AM31" s="361" t="s">
        <v>2907</v>
      </c>
      <c r="AN31" s="361" t="s">
        <v>2910</v>
      </c>
      <c r="AO31" s="361"/>
      <c r="AP31" s="361"/>
      <c r="AQ31" s="361" t="s">
        <v>2911</v>
      </c>
      <c r="AR31" s="369">
        <v>16</v>
      </c>
      <c r="AS31" s="191"/>
      <c r="AT31" s="191"/>
      <c r="AU31" s="191"/>
      <c r="AV31" s="191"/>
      <c r="AW31" s="191"/>
      <c r="AX31" s="370" t="s">
        <v>2962</v>
      </c>
      <c r="AY31" s="370" t="s">
        <v>2963</v>
      </c>
      <c r="AZ31" s="305">
        <v>8.9</v>
      </c>
      <c r="BA31" s="305">
        <v>7.64</v>
      </c>
      <c r="BB31" s="305">
        <v>1.18</v>
      </c>
      <c r="BC31" s="363"/>
      <c r="BD31" s="363"/>
      <c r="BE31" s="306">
        <v>0.14000000000000001</v>
      </c>
      <c r="BF31" s="307">
        <v>8.3170000000000002</v>
      </c>
      <c r="BG31" s="307">
        <v>1.411</v>
      </c>
      <c r="BH31" s="307">
        <v>11.321999999999999</v>
      </c>
      <c r="BI31" s="308">
        <v>7.6890578364583337E-2</v>
      </c>
      <c r="BJ31" s="306">
        <v>0.12</v>
      </c>
      <c r="BK31" s="309">
        <v>11.87</v>
      </c>
      <c r="BL31" s="309">
        <v>9</v>
      </c>
      <c r="BM31" s="309">
        <v>9</v>
      </c>
      <c r="BN31" s="309">
        <v>0.55640624999999999</v>
      </c>
      <c r="BO31" s="314">
        <v>0.53</v>
      </c>
      <c r="BP31" s="314">
        <v>0.26</v>
      </c>
      <c r="BQ31" s="314">
        <v>2.09</v>
      </c>
      <c r="BR31" s="268" t="s">
        <v>733</v>
      </c>
      <c r="BS31" s="361">
        <v>6</v>
      </c>
      <c r="BT31" s="361">
        <v>17</v>
      </c>
      <c r="BU31" s="361">
        <v>5</v>
      </c>
      <c r="BV31" s="215">
        <v>510</v>
      </c>
      <c r="BW31" s="311">
        <v>227.65</v>
      </c>
      <c r="BX31" s="215" t="s">
        <v>743</v>
      </c>
      <c r="BY31" s="270" t="s">
        <v>735</v>
      </c>
      <c r="BZ31" s="331"/>
      <c r="CA31" s="331"/>
      <c r="CB31" s="331"/>
      <c r="CC31" s="331"/>
      <c r="CD31" s="331"/>
    </row>
    <row r="32" spans="1:82" s="316" customFormat="1" ht="30" x14ac:dyDescent="0.25">
      <c r="A32" s="345">
        <v>42781</v>
      </c>
      <c r="B32" s="216" t="s">
        <v>14</v>
      </c>
      <c r="C32" s="216" t="s">
        <v>2912</v>
      </c>
      <c r="D32" s="216" t="s">
        <v>746</v>
      </c>
      <c r="E32" s="216" t="s">
        <v>737</v>
      </c>
      <c r="F32" s="211" t="s">
        <v>2683</v>
      </c>
      <c r="G32" s="328" t="s">
        <v>2684</v>
      </c>
      <c r="H32" s="319" t="s">
        <v>2913</v>
      </c>
      <c r="I32" s="361"/>
      <c r="J32" s="361"/>
      <c r="K32" s="319"/>
      <c r="L32" s="320"/>
      <c r="M32" s="320"/>
      <c r="N32" s="320"/>
      <c r="O32" s="230"/>
      <c r="P32" s="230"/>
      <c r="Q32" s="230"/>
      <c r="R32" s="230"/>
      <c r="S32" s="230"/>
      <c r="T32" s="230"/>
      <c r="U32" s="319"/>
      <c r="V32" s="324"/>
      <c r="W32" s="319"/>
      <c r="X32" s="324"/>
      <c r="Y32" s="322"/>
      <c r="Z32" s="324"/>
      <c r="AA32" s="319"/>
      <c r="AB32" s="361"/>
      <c r="AC32" s="361"/>
      <c r="AD32" s="328"/>
      <c r="AE32" s="361"/>
      <c r="AF32" s="361"/>
      <c r="AG32" s="361"/>
      <c r="AH32" s="361"/>
      <c r="AI32" s="361"/>
      <c r="AJ32" s="361"/>
      <c r="AK32" s="361"/>
      <c r="AL32" s="322" t="s">
        <v>2914</v>
      </c>
      <c r="AM32" s="361"/>
      <c r="AN32" s="361" t="s">
        <v>2915</v>
      </c>
      <c r="AO32" s="361"/>
      <c r="AP32" s="361"/>
      <c r="AQ32" s="361" t="s">
        <v>2916</v>
      </c>
      <c r="AR32" s="369">
        <v>16.920000000000002</v>
      </c>
      <c r="AS32" s="191"/>
      <c r="AT32" s="191"/>
      <c r="AU32" s="191"/>
      <c r="AV32" s="191"/>
      <c r="AW32" s="191"/>
      <c r="AX32" s="370" t="s">
        <v>2964</v>
      </c>
      <c r="AY32" s="370" t="s">
        <v>2965</v>
      </c>
      <c r="AZ32" s="305">
        <v>10</v>
      </c>
      <c r="BA32" s="305">
        <v>9.25</v>
      </c>
      <c r="BB32" s="305">
        <v>1.26</v>
      </c>
      <c r="BC32" s="363"/>
      <c r="BD32" s="363"/>
      <c r="BE32" s="306">
        <v>0.65</v>
      </c>
      <c r="BF32" s="307" t="s">
        <v>2966</v>
      </c>
      <c r="BG32" s="307"/>
      <c r="BH32" s="307"/>
      <c r="BI32" s="308"/>
      <c r="BJ32" s="306"/>
      <c r="BK32" s="309">
        <v>12.75</v>
      </c>
      <c r="BL32" s="309">
        <v>4.75</v>
      </c>
      <c r="BM32" s="309">
        <v>11.5</v>
      </c>
      <c r="BN32" s="309">
        <v>0.4030490451388889</v>
      </c>
      <c r="BO32" s="314">
        <v>0.4</v>
      </c>
      <c r="BP32" s="314">
        <v>0.65</v>
      </c>
      <c r="BQ32" s="314">
        <v>2.35</v>
      </c>
      <c r="BR32" s="268" t="s">
        <v>733</v>
      </c>
      <c r="BS32" s="361">
        <v>3</v>
      </c>
      <c r="BT32" s="361">
        <v>12</v>
      </c>
      <c r="BU32" s="361">
        <v>9</v>
      </c>
      <c r="BV32" s="215">
        <v>324</v>
      </c>
      <c r="BW32" s="311">
        <v>303.8</v>
      </c>
      <c r="BX32" s="215" t="s">
        <v>743</v>
      </c>
      <c r="BY32" s="270" t="s">
        <v>735</v>
      </c>
      <c r="BZ32" s="331"/>
      <c r="CA32" s="331"/>
      <c r="CB32" s="331"/>
      <c r="CC32" s="331"/>
      <c r="CD32" s="331"/>
    </row>
    <row r="33" spans="1:82" s="316" customFormat="1" x14ac:dyDescent="0.25">
      <c r="A33" s="345">
        <v>42781</v>
      </c>
      <c r="B33" s="216" t="s">
        <v>14</v>
      </c>
      <c r="C33" s="216" t="s">
        <v>2917</v>
      </c>
      <c r="D33" s="216" t="s">
        <v>746</v>
      </c>
      <c r="E33" s="216" t="s">
        <v>737</v>
      </c>
      <c r="F33" s="211" t="s">
        <v>2918</v>
      </c>
      <c r="G33" s="328" t="s">
        <v>1029</v>
      </c>
      <c r="H33" s="319" t="s">
        <v>2919</v>
      </c>
      <c r="I33" s="361"/>
      <c r="J33" s="361"/>
      <c r="K33" s="319"/>
      <c r="L33" s="320"/>
      <c r="M33" s="320"/>
      <c r="N33" s="320"/>
      <c r="O33" s="230"/>
      <c r="P33" s="230"/>
      <c r="Q33" s="230"/>
      <c r="R33" s="230"/>
      <c r="S33" s="230"/>
      <c r="T33" s="230"/>
      <c r="U33" s="319"/>
      <c r="V33" s="324"/>
      <c r="W33" s="319"/>
      <c r="X33" s="324"/>
      <c r="Y33" s="322"/>
      <c r="Z33" s="324"/>
      <c r="AA33" s="319"/>
      <c r="AB33" s="361"/>
      <c r="AC33" s="361"/>
      <c r="AD33" s="328"/>
      <c r="AE33" s="361"/>
      <c r="AF33" s="361"/>
      <c r="AG33" s="361"/>
      <c r="AH33" s="361"/>
      <c r="AI33" s="361"/>
      <c r="AJ33" s="361"/>
      <c r="AK33" s="361"/>
      <c r="AL33" s="322"/>
      <c r="AM33" s="361"/>
      <c r="AN33" s="361" t="s">
        <v>2920</v>
      </c>
      <c r="AO33" s="361"/>
      <c r="AP33" s="361"/>
      <c r="AQ33" s="361"/>
      <c r="AR33" s="369">
        <v>10.67</v>
      </c>
      <c r="AS33" s="191"/>
      <c r="AT33" s="191"/>
      <c r="AU33" s="191"/>
      <c r="AV33" s="191"/>
      <c r="AW33" s="191"/>
      <c r="AX33" s="370" t="s">
        <v>2967</v>
      </c>
      <c r="AY33" s="370" t="s">
        <v>2968</v>
      </c>
      <c r="AZ33" s="305">
        <v>8.5</v>
      </c>
      <c r="BA33" s="305">
        <v>7.25</v>
      </c>
      <c r="BB33" s="305">
        <v>1.1200000000000001</v>
      </c>
      <c r="BC33" s="363"/>
      <c r="BD33" s="363"/>
      <c r="BE33" s="306">
        <v>0.09</v>
      </c>
      <c r="BF33" s="307">
        <v>8.1760000000000002</v>
      </c>
      <c r="BG33" s="307">
        <v>1.486</v>
      </c>
      <c r="BH33" s="307">
        <v>9.081999999999999</v>
      </c>
      <c r="BI33" s="308">
        <v>6.3855373814814806E-2</v>
      </c>
      <c r="BJ33" s="306">
        <v>0.12</v>
      </c>
      <c r="BK33" s="309">
        <v>10</v>
      </c>
      <c r="BL33" s="309">
        <v>9.75</v>
      </c>
      <c r="BM33" s="309">
        <v>5.12</v>
      </c>
      <c r="BN33" s="309">
        <v>0.28888888888888892</v>
      </c>
      <c r="BO33" s="314">
        <v>0.34</v>
      </c>
      <c r="BP33" s="314">
        <v>0.21</v>
      </c>
      <c r="BQ33" s="314">
        <v>0.97</v>
      </c>
      <c r="BR33" s="268" t="s">
        <v>733</v>
      </c>
      <c r="BS33" s="361">
        <v>3</v>
      </c>
      <c r="BT33" s="361">
        <v>16</v>
      </c>
      <c r="BU33" s="361">
        <v>8</v>
      </c>
      <c r="BV33" s="215">
        <v>384</v>
      </c>
      <c r="BW33" s="311">
        <v>174.16</v>
      </c>
      <c r="BX33" s="215" t="s">
        <v>890</v>
      </c>
      <c r="BY33" s="270" t="s">
        <v>735</v>
      </c>
      <c r="BZ33" s="331"/>
      <c r="CA33" s="331"/>
      <c r="CB33" s="331"/>
      <c r="CC33" s="331"/>
      <c r="CD33" s="331"/>
    </row>
    <row r="34" spans="1:82" s="316" customFormat="1" x14ac:dyDescent="0.25">
      <c r="A34" s="345">
        <v>42781</v>
      </c>
      <c r="B34" s="216" t="s">
        <v>14</v>
      </c>
      <c r="C34" s="216" t="s">
        <v>2921</v>
      </c>
      <c r="D34" s="216" t="s">
        <v>746</v>
      </c>
      <c r="E34" s="216" t="s">
        <v>991</v>
      </c>
      <c r="F34" s="211" t="s">
        <v>2922</v>
      </c>
      <c r="G34" s="328" t="s">
        <v>869</v>
      </c>
      <c r="H34" s="319" t="s">
        <v>2923</v>
      </c>
      <c r="I34" s="361"/>
      <c r="J34" s="361"/>
      <c r="K34" s="319"/>
      <c r="L34" s="320"/>
      <c r="M34" s="320"/>
      <c r="N34" s="320"/>
      <c r="O34" s="230"/>
      <c r="P34" s="230"/>
      <c r="Q34" s="230"/>
      <c r="R34" s="230"/>
      <c r="S34" s="230"/>
      <c r="T34" s="230"/>
      <c r="U34" s="319"/>
      <c r="V34" s="324"/>
      <c r="W34" s="319">
        <v>93644</v>
      </c>
      <c r="X34" s="324" t="s">
        <v>2921</v>
      </c>
      <c r="Y34" s="322"/>
      <c r="Z34" s="324"/>
      <c r="AA34" s="319"/>
      <c r="AB34" s="361" t="s">
        <v>2924</v>
      </c>
      <c r="AC34" s="361"/>
      <c r="AD34" s="328"/>
      <c r="AE34" s="361" t="s">
        <v>2925</v>
      </c>
      <c r="AF34" s="361"/>
      <c r="AG34" s="361"/>
      <c r="AH34" s="361"/>
      <c r="AI34" s="361"/>
      <c r="AJ34" s="361"/>
      <c r="AK34" s="361">
        <v>200269</v>
      </c>
      <c r="AL34" s="322" t="s">
        <v>2926</v>
      </c>
      <c r="AM34" s="361"/>
      <c r="AN34" s="361" t="s">
        <v>2927</v>
      </c>
      <c r="AO34" s="361" t="s">
        <v>2928</v>
      </c>
      <c r="AP34" s="361"/>
      <c r="AQ34" s="361" t="s">
        <v>2929</v>
      </c>
      <c r="AR34" s="369">
        <v>18.46</v>
      </c>
      <c r="AS34" s="191"/>
      <c r="AT34" s="191"/>
      <c r="AU34" s="191"/>
      <c r="AV34" s="191"/>
      <c r="AW34" s="191"/>
      <c r="AX34" s="370" t="s">
        <v>2969</v>
      </c>
      <c r="AY34" s="370" t="s">
        <v>2970</v>
      </c>
      <c r="AZ34" s="305">
        <v>10.904999999999999</v>
      </c>
      <c r="BA34" s="305">
        <v>7.4409999999999998</v>
      </c>
      <c r="BB34" s="305">
        <v>1.929</v>
      </c>
      <c r="BC34" s="363"/>
      <c r="BD34" s="363"/>
      <c r="BE34" s="306">
        <v>0.67</v>
      </c>
      <c r="BF34" s="307">
        <v>7.6359999999999992</v>
      </c>
      <c r="BG34" s="307">
        <v>2.1259999999999999</v>
      </c>
      <c r="BH34" s="307">
        <v>11.132</v>
      </c>
      <c r="BI34" s="308">
        <v>0.10458240853703701</v>
      </c>
      <c r="BJ34" s="306">
        <v>0.15</v>
      </c>
      <c r="BK34" s="309">
        <v>13</v>
      </c>
      <c r="BL34" s="309">
        <v>11.47</v>
      </c>
      <c r="BM34" s="309">
        <v>8.5</v>
      </c>
      <c r="BN34" s="309">
        <v>0.73346932870370363</v>
      </c>
      <c r="BO34" s="314">
        <v>0.65</v>
      </c>
      <c r="BP34" s="314">
        <v>0.82000000000000006</v>
      </c>
      <c r="BQ34" s="314">
        <v>5.57</v>
      </c>
      <c r="BR34" s="268" t="s">
        <v>733</v>
      </c>
      <c r="BS34" s="361">
        <v>6</v>
      </c>
      <c r="BT34" s="361">
        <v>12</v>
      </c>
      <c r="BU34" s="361">
        <v>5</v>
      </c>
      <c r="BV34" s="215">
        <v>360</v>
      </c>
      <c r="BW34" s="311">
        <v>384.20000000000005</v>
      </c>
      <c r="BX34" s="215" t="s">
        <v>734</v>
      </c>
      <c r="BY34" s="270" t="s">
        <v>735</v>
      </c>
      <c r="BZ34" s="331"/>
      <c r="CA34" s="331"/>
      <c r="CB34" s="331"/>
      <c r="CC34" s="331"/>
      <c r="CD34" s="331"/>
    </row>
    <row r="35" spans="1:82" s="316" customFormat="1" x14ac:dyDescent="0.25">
      <c r="A35" s="345">
        <v>42781</v>
      </c>
      <c r="B35" s="216" t="s">
        <v>14</v>
      </c>
      <c r="C35" s="216" t="s">
        <v>2930</v>
      </c>
      <c r="D35" s="216" t="s">
        <v>746</v>
      </c>
      <c r="E35" s="216" t="s">
        <v>2787</v>
      </c>
      <c r="F35" s="211" t="s">
        <v>2931</v>
      </c>
      <c r="G35" s="328" t="s">
        <v>912</v>
      </c>
      <c r="H35" s="319" t="s">
        <v>2932</v>
      </c>
      <c r="I35" s="361"/>
      <c r="J35" s="361"/>
      <c r="K35" s="319"/>
      <c r="L35" s="320"/>
      <c r="M35" s="320"/>
      <c r="N35" s="320"/>
      <c r="O35" s="230"/>
      <c r="P35" s="230"/>
      <c r="Q35" s="230"/>
      <c r="R35" s="230"/>
      <c r="S35" s="230"/>
      <c r="T35" s="230"/>
      <c r="U35" s="319"/>
      <c r="V35" s="324"/>
      <c r="W35" s="319">
        <v>86831</v>
      </c>
      <c r="X35" s="324" t="s">
        <v>2930</v>
      </c>
      <c r="Y35" s="322"/>
      <c r="Z35" s="324"/>
      <c r="AA35" s="319"/>
      <c r="AB35" s="361" t="s">
        <v>2933</v>
      </c>
      <c r="AC35" s="361" t="s">
        <v>2934</v>
      </c>
      <c r="AD35" s="328" t="s">
        <v>2935</v>
      </c>
      <c r="AE35" s="361"/>
      <c r="AF35" s="361" t="s">
        <v>2936</v>
      </c>
      <c r="AG35" s="361"/>
      <c r="AH35" s="361" t="s">
        <v>2937</v>
      </c>
      <c r="AI35" s="361"/>
      <c r="AJ35" s="361"/>
      <c r="AK35" s="361">
        <v>3831</v>
      </c>
      <c r="AL35" s="322"/>
      <c r="AM35" s="361"/>
      <c r="AN35" s="361">
        <v>59182</v>
      </c>
      <c r="AO35" s="361"/>
      <c r="AP35" s="361"/>
      <c r="AQ35" s="361">
        <v>33831</v>
      </c>
      <c r="AR35" s="369">
        <v>29.45</v>
      </c>
      <c r="AS35" s="330">
        <v>0.5</v>
      </c>
      <c r="AT35" s="330">
        <v>0.55000000000000004</v>
      </c>
      <c r="AU35" s="330">
        <v>0.35</v>
      </c>
      <c r="AV35" s="330">
        <v>0.38</v>
      </c>
      <c r="AW35" s="191"/>
      <c r="AX35" s="370" t="s">
        <v>2971</v>
      </c>
      <c r="AY35" s="370" t="s">
        <v>2972</v>
      </c>
      <c r="AZ35" s="305"/>
      <c r="BA35" s="305"/>
      <c r="BB35" s="305"/>
      <c r="BC35" s="363">
        <v>2.93</v>
      </c>
      <c r="BD35" s="363">
        <v>6.94</v>
      </c>
      <c r="BE35" s="306">
        <v>0.61</v>
      </c>
      <c r="BF35" s="307">
        <v>3.8460000000000001</v>
      </c>
      <c r="BG35" s="307">
        <v>3.8479999999999999</v>
      </c>
      <c r="BH35" s="307">
        <v>8.0719999999999992</v>
      </c>
      <c r="BI35" s="308">
        <v>6.9132419777777773E-2</v>
      </c>
      <c r="BJ35" s="306">
        <v>0.09</v>
      </c>
      <c r="BK35" s="309">
        <v>15.81</v>
      </c>
      <c r="BL35" s="309">
        <v>11.93</v>
      </c>
      <c r="BM35" s="309">
        <v>8.6199999999999992</v>
      </c>
      <c r="BN35" s="309">
        <v>0.94088347569444442</v>
      </c>
      <c r="BO35" s="314">
        <v>0.87</v>
      </c>
      <c r="BP35" s="314">
        <v>0.7</v>
      </c>
      <c r="BQ35" s="314">
        <v>9.2699999999999978</v>
      </c>
      <c r="BR35" s="268" t="s">
        <v>733</v>
      </c>
      <c r="BS35" s="361">
        <v>12</v>
      </c>
      <c r="BT35" s="361">
        <v>10</v>
      </c>
      <c r="BU35" s="361">
        <v>5</v>
      </c>
      <c r="BV35" s="215">
        <v>600</v>
      </c>
      <c r="BW35" s="311">
        <v>513.49999999999989</v>
      </c>
      <c r="BX35" s="215" t="s">
        <v>743</v>
      </c>
      <c r="BY35" s="270" t="s">
        <v>783</v>
      </c>
      <c r="BZ35" s="331"/>
      <c r="CA35" s="331"/>
      <c r="CB35" s="331"/>
      <c r="CC35" s="331"/>
      <c r="CD35" s="331"/>
    </row>
    <row r="36" spans="1:82" s="316" customFormat="1" x14ac:dyDescent="0.25">
      <c r="A36" s="345">
        <v>42781</v>
      </c>
      <c r="B36" s="216" t="s">
        <v>14</v>
      </c>
      <c r="C36" s="216" t="s">
        <v>2938</v>
      </c>
      <c r="D36" s="216" t="s">
        <v>746</v>
      </c>
      <c r="E36" s="216" t="s">
        <v>991</v>
      </c>
      <c r="F36" s="211" t="s">
        <v>2939</v>
      </c>
      <c r="G36" s="328" t="s">
        <v>1307</v>
      </c>
      <c r="H36" s="319" t="s">
        <v>2940</v>
      </c>
      <c r="I36" s="361"/>
      <c r="J36" s="361"/>
      <c r="K36" s="319"/>
      <c r="L36" s="320"/>
      <c r="M36" s="320"/>
      <c r="N36" s="320"/>
      <c r="O36" s="230"/>
      <c r="P36" s="230"/>
      <c r="Q36" s="230"/>
      <c r="R36" s="230"/>
      <c r="S36" s="230"/>
      <c r="T36" s="230"/>
      <c r="U36" s="319" t="s">
        <v>2941</v>
      </c>
      <c r="V36" s="324"/>
      <c r="W36" s="319">
        <v>93058</v>
      </c>
      <c r="X36" s="324"/>
      <c r="Y36" s="322"/>
      <c r="Z36" s="324"/>
      <c r="AA36" s="319"/>
      <c r="AB36" s="361" t="s">
        <v>2942</v>
      </c>
      <c r="AC36" s="361" t="s">
        <v>2943</v>
      </c>
      <c r="AD36" s="328"/>
      <c r="AE36" s="361"/>
      <c r="AF36" s="361"/>
      <c r="AG36" s="361"/>
      <c r="AH36" s="361" t="s">
        <v>2944</v>
      </c>
      <c r="AI36" s="361" t="s">
        <v>2938</v>
      </c>
      <c r="AJ36" s="361"/>
      <c r="AK36" s="361">
        <v>200058</v>
      </c>
      <c r="AL36" s="322"/>
      <c r="AM36" s="361"/>
      <c r="AN36" s="361" t="s">
        <v>2945</v>
      </c>
      <c r="AO36" s="361"/>
      <c r="AP36" s="361"/>
      <c r="AQ36" s="361" t="s">
        <v>2946</v>
      </c>
      <c r="AR36" s="369">
        <v>19.989999999999998</v>
      </c>
      <c r="AS36" s="191"/>
      <c r="AT36" s="191"/>
      <c r="AU36" s="191"/>
      <c r="AV36" s="191"/>
      <c r="AW36" s="191"/>
      <c r="AX36" s="370" t="s">
        <v>2973</v>
      </c>
      <c r="AY36" s="370" t="s">
        <v>2974</v>
      </c>
      <c r="AZ36" s="305">
        <v>10.14</v>
      </c>
      <c r="BA36" s="305">
        <v>8.11</v>
      </c>
      <c r="BB36" s="305">
        <v>2.0099999999999998</v>
      </c>
      <c r="BC36" s="363"/>
      <c r="BD36" s="363"/>
      <c r="BE36" s="306">
        <v>0.62</v>
      </c>
      <c r="BF36" s="307">
        <v>8.5359999999999996</v>
      </c>
      <c r="BG36" s="307">
        <v>2.4060000000000001</v>
      </c>
      <c r="BH36" s="307">
        <v>10.691999999999998</v>
      </c>
      <c r="BI36" s="308">
        <v>0.12707649899999998</v>
      </c>
      <c r="BJ36" s="306">
        <v>0.2</v>
      </c>
      <c r="BK36" s="309">
        <v>15</v>
      </c>
      <c r="BL36" s="309">
        <v>11.25</v>
      </c>
      <c r="BM36" s="309">
        <v>9.3800000000000008</v>
      </c>
      <c r="BN36" s="309">
        <v>0.916015625</v>
      </c>
      <c r="BO36" s="314">
        <v>0.78</v>
      </c>
      <c r="BP36" s="314">
        <v>0.82000000000000006</v>
      </c>
      <c r="BQ36" s="314">
        <v>5.7</v>
      </c>
      <c r="BR36" s="268" t="s">
        <v>733</v>
      </c>
      <c r="BS36" s="361">
        <v>6</v>
      </c>
      <c r="BT36" s="361">
        <v>10</v>
      </c>
      <c r="BU36" s="361">
        <v>4</v>
      </c>
      <c r="BV36" s="215">
        <v>240</v>
      </c>
      <c r="BW36" s="311">
        <v>278</v>
      </c>
      <c r="BX36" s="215" t="s">
        <v>743</v>
      </c>
      <c r="BY36" s="270" t="s">
        <v>735</v>
      </c>
      <c r="BZ36" s="331"/>
      <c r="CA36" s="331"/>
      <c r="CB36" s="331"/>
      <c r="CC36" s="331"/>
      <c r="CD36" s="331"/>
    </row>
    <row r="37" spans="1:82" s="316" customFormat="1" x14ac:dyDescent="0.25">
      <c r="A37" s="345">
        <v>42781</v>
      </c>
      <c r="B37" s="216" t="s">
        <v>14</v>
      </c>
      <c r="C37" s="216" t="s">
        <v>2947</v>
      </c>
      <c r="D37" s="216" t="s">
        <v>746</v>
      </c>
      <c r="E37" s="216" t="s">
        <v>934</v>
      </c>
      <c r="F37" s="211" t="s">
        <v>2948</v>
      </c>
      <c r="G37" s="328" t="s">
        <v>722</v>
      </c>
      <c r="H37" s="319" t="s">
        <v>2949</v>
      </c>
      <c r="I37" s="361"/>
      <c r="J37" s="361"/>
      <c r="K37" s="319"/>
      <c r="L37" s="320"/>
      <c r="M37" s="320"/>
      <c r="N37" s="320"/>
      <c r="O37" s="230"/>
      <c r="P37" s="230"/>
      <c r="Q37" s="230"/>
      <c r="R37" s="230"/>
      <c r="S37" s="230"/>
      <c r="T37" s="230"/>
      <c r="U37" s="319"/>
      <c r="V37" s="324"/>
      <c r="W37" s="319"/>
      <c r="X37" s="324"/>
      <c r="Y37" s="322"/>
      <c r="Z37" s="324"/>
      <c r="AA37" s="319"/>
      <c r="AB37" s="361" t="s">
        <v>2950</v>
      </c>
      <c r="AC37" s="361"/>
      <c r="AD37" s="328"/>
      <c r="AE37" s="361" t="s">
        <v>2951</v>
      </c>
      <c r="AF37" s="361"/>
      <c r="AG37" s="361"/>
      <c r="AH37" s="361"/>
      <c r="AI37" s="361" t="s">
        <v>2947</v>
      </c>
      <c r="AJ37" s="361"/>
      <c r="AK37" s="361">
        <v>200427</v>
      </c>
      <c r="AL37" s="322" t="s">
        <v>2952</v>
      </c>
      <c r="AM37" s="361" t="s">
        <v>2953</v>
      </c>
      <c r="AN37" s="361" t="s">
        <v>2954</v>
      </c>
      <c r="AO37" s="361"/>
      <c r="AP37" s="361"/>
      <c r="AQ37" s="361" t="s">
        <v>2955</v>
      </c>
      <c r="AR37" s="369">
        <v>30.41</v>
      </c>
      <c r="AS37" s="191"/>
      <c r="AT37" s="191"/>
      <c r="AU37" s="191"/>
      <c r="AV37" s="191"/>
      <c r="AW37" s="191"/>
      <c r="AX37" s="370" t="s">
        <v>2975</v>
      </c>
      <c r="AY37" s="370" t="s">
        <v>2976</v>
      </c>
      <c r="AZ37" s="305">
        <v>10.945</v>
      </c>
      <c r="BA37" s="305">
        <v>9.3109999999999999</v>
      </c>
      <c r="BB37" s="305">
        <v>2.3029999999999999</v>
      </c>
      <c r="BC37" s="363"/>
      <c r="BD37" s="363"/>
      <c r="BE37" s="306">
        <v>0.71</v>
      </c>
      <c r="BF37" s="307">
        <v>9.6359999999999992</v>
      </c>
      <c r="BG37" s="307">
        <v>2.6360000000000001</v>
      </c>
      <c r="BH37" s="307">
        <v>11.251999999999999</v>
      </c>
      <c r="BI37" s="308">
        <v>0.1653972112222222</v>
      </c>
      <c r="BJ37" s="306">
        <v>0.18</v>
      </c>
      <c r="BK37" s="309">
        <v>16</v>
      </c>
      <c r="BL37" s="309">
        <v>11.67</v>
      </c>
      <c r="BM37" s="309">
        <v>10.54</v>
      </c>
      <c r="BN37" s="309">
        <v>1.1389055555555554</v>
      </c>
      <c r="BO37" s="314">
        <v>0.7</v>
      </c>
      <c r="BP37" s="314">
        <v>0.8899999999999999</v>
      </c>
      <c r="BQ37" s="314">
        <v>6.04</v>
      </c>
      <c r="BR37" s="268" t="s">
        <v>733</v>
      </c>
      <c r="BS37" s="361">
        <v>6</v>
      </c>
      <c r="BT37" s="361">
        <v>10</v>
      </c>
      <c r="BU37" s="361">
        <v>4</v>
      </c>
      <c r="BV37" s="215">
        <v>240</v>
      </c>
      <c r="BW37" s="311">
        <v>291.60000000000002</v>
      </c>
      <c r="BX37" s="215" t="s">
        <v>734</v>
      </c>
      <c r="BY37" s="270" t="s">
        <v>735</v>
      </c>
      <c r="BZ37" s="331"/>
      <c r="CA37" s="331"/>
      <c r="CB37" s="331"/>
      <c r="CC37" s="331"/>
      <c r="CD37" s="331"/>
    </row>
    <row r="38" spans="1:82" s="316" customFormat="1" x14ac:dyDescent="0.25">
      <c r="A38" s="345">
        <v>42725</v>
      </c>
      <c r="B38" s="333" t="s">
        <v>14</v>
      </c>
      <c r="C38" s="333" t="s">
        <v>2738</v>
      </c>
      <c r="D38" s="333" t="s">
        <v>746</v>
      </c>
      <c r="E38" s="333" t="s">
        <v>934</v>
      </c>
      <c r="F38" s="211" t="s">
        <v>2739</v>
      </c>
      <c r="G38" s="328" t="s">
        <v>1867</v>
      </c>
      <c r="H38" s="344" t="s">
        <v>2740</v>
      </c>
      <c r="I38" s="356"/>
      <c r="J38" s="356"/>
      <c r="K38" s="319"/>
      <c r="L38" s="320"/>
      <c r="M38" s="320"/>
      <c r="N38" s="320"/>
      <c r="O38" s="230"/>
      <c r="P38" s="230"/>
      <c r="Q38" s="230"/>
      <c r="R38" s="230"/>
      <c r="S38" s="230"/>
      <c r="T38" s="230"/>
      <c r="U38" s="319"/>
      <c r="V38" s="324"/>
      <c r="W38" s="319">
        <v>94072</v>
      </c>
      <c r="X38" s="324"/>
      <c r="Y38" s="322"/>
      <c r="Z38" s="324"/>
      <c r="AA38" s="319"/>
      <c r="AB38" s="356"/>
      <c r="AC38" s="356"/>
      <c r="AD38" s="328"/>
      <c r="AE38" s="356"/>
      <c r="AF38" s="356"/>
      <c r="AG38" s="356"/>
      <c r="AH38" s="356" t="s">
        <v>2741</v>
      </c>
      <c r="AI38" s="356"/>
      <c r="AJ38" s="356"/>
      <c r="AK38" s="356"/>
      <c r="AL38" s="322"/>
      <c r="AM38" s="356"/>
      <c r="AN38" s="356"/>
      <c r="AO38" s="356"/>
      <c r="AP38" s="356"/>
      <c r="AQ38" s="356" t="s">
        <v>2742</v>
      </c>
      <c r="AR38" s="159">
        <v>11.83</v>
      </c>
      <c r="AS38" s="330"/>
      <c r="AT38" s="111"/>
      <c r="AU38" s="111"/>
      <c r="AV38" s="111"/>
      <c r="AW38" s="302"/>
      <c r="AX38" s="336" t="s">
        <v>2856</v>
      </c>
      <c r="AY38" s="336" t="s">
        <v>2857</v>
      </c>
      <c r="AZ38" s="358">
        <v>10.55</v>
      </c>
      <c r="BA38" s="358">
        <v>7.44</v>
      </c>
      <c r="BB38" s="358">
        <v>1.18</v>
      </c>
      <c r="BC38" s="348"/>
      <c r="BD38" s="348"/>
      <c r="BE38" s="340">
        <v>0.35</v>
      </c>
      <c r="BF38" s="353">
        <f>8.5+0.036</f>
        <v>8.5359999999999996</v>
      </c>
      <c r="BG38" s="353">
        <f>2.37+0.036</f>
        <v>2.4060000000000001</v>
      </c>
      <c r="BH38" s="353">
        <f>10.62+0.036+0.036</f>
        <v>10.691999999999998</v>
      </c>
      <c r="BI38" s="350">
        <f>(BH38*BG38*BF38)/1728</f>
        <v>0.12707649899999998</v>
      </c>
      <c r="BJ38" s="340">
        <v>0.2</v>
      </c>
      <c r="BK38" s="349">
        <v>12.25</v>
      </c>
      <c r="BL38" s="349">
        <v>10.25</v>
      </c>
      <c r="BM38" s="349">
        <v>8.25</v>
      </c>
      <c r="BN38" s="350">
        <f>(BM38*BL38*BK38)/1728</f>
        <v>0.59947374131944442</v>
      </c>
      <c r="BO38" s="341">
        <v>0.59</v>
      </c>
      <c r="BP38" s="341"/>
      <c r="BQ38" s="341"/>
      <c r="BR38" s="323" t="s">
        <v>733</v>
      </c>
      <c r="BS38" s="332">
        <v>3</v>
      </c>
      <c r="BT38" s="332">
        <v>12</v>
      </c>
      <c r="BU38" s="332">
        <v>5</v>
      </c>
      <c r="BV38" s="321">
        <f>BS38*BT38*BU38</f>
        <v>180</v>
      </c>
      <c r="BW38" s="351">
        <f t="shared" ref="BW38:BW55" si="16">((((BE38+BJ38)*BS38)+BO38)*BT38*BU38)+50</f>
        <v>184.4</v>
      </c>
      <c r="BX38" s="351" t="s">
        <v>743</v>
      </c>
      <c r="BY38" s="342" t="s">
        <v>735</v>
      </c>
      <c r="BZ38" s="331"/>
      <c r="CA38" s="331"/>
      <c r="CB38" s="331"/>
    </row>
    <row r="39" spans="1:82" s="316" customFormat="1" x14ac:dyDescent="0.25">
      <c r="A39" s="345">
        <v>42725</v>
      </c>
      <c r="B39" s="333" t="s">
        <v>14</v>
      </c>
      <c r="C39" s="333" t="s">
        <v>2743</v>
      </c>
      <c r="D39" s="333" t="s">
        <v>746</v>
      </c>
      <c r="E39" s="333" t="s">
        <v>982</v>
      </c>
      <c r="F39" s="211" t="s">
        <v>2744</v>
      </c>
      <c r="G39" s="328" t="s">
        <v>967</v>
      </c>
      <c r="H39" s="344" t="s">
        <v>2745</v>
      </c>
      <c r="I39" s="356"/>
      <c r="J39" s="356"/>
      <c r="K39" s="319"/>
      <c r="L39" s="320"/>
      <c r="M39" s="320"/>
      <c r="N39" s="320"/>
      <c r="O39" s="230"/>
      <c r="P39" s="230"/>
      <c r="Q39" s="230"/>
      <c r="R39" s="230"/>
      <c r="S39" s="230"/>
      <c r="T39" s="230"/>
      <c r="U39" s="319"/>
      <c r="V39" s="324"/>
      <c r="W39" s="319"/>
      <c r="X39" s="324"/>
      <c r="Y39" s="322"/>
      <c r="Z39" s="324"/>
      <c r="AA39" s="319"/>
      <c r="AB39" s="356"/>
      <c r="AC39" s="356"/>
      <c r="AD39" s="328" t="s">
        <v>2746</v>
      </c>
      <c r="AE39" s="356"/>
      <c r="AF39" s="356" t="s">
        <v>2747</v>
      </c>
      <c r="AG39" s="356"/>
      <c r="AH39" s="356" t="s">
        <v>2748</v>
      </c>
      <c r="AI39" s="356"/>
      <c r="AJ39" s="356"/>
      <c r="AK39" s="356"/>
      <c r="AL39" s="322" t="s">
        <v>2749</v>
      </c>
      <c r="AM39" s="356"/>
      <c r="AN39" s="356"/>
      <c r="AO39" s="356"/>
      <c r="AP39" s="356" t="s">
        <v>2750</v>
      </c>
      <c r="AQ39" s="356" t="s">
        <v>2751</v>
      </c>
      <c r="AR39" s="159">
        <v>32.71</v>
      </c>
      <c r="AS39" s="330"/>
      <c r="AT39" s="111"/>
      <c r="AU39" s="111"/>
      <c r="AV39" s="111"/>
      <c r="AW39" s="312"/>
      <c r="AX39" s="336" t="s">
        <v>2858</v>
      </c>
      <c r="AY39" s="336" t="s">
        <v>2859</v>
      </c>
      <c r="AZ39" s="348"/>
      <c r="BA39" s="348"/>
      <c r="BB39" s="348"/>
      <c r="BC39" s="358">
        <v>3.66</v>
      </c>
      <c r="BD39" s="358">
        <v>5.53</v>
      </c>
      <c r="BE39" s="340">
        <v>1.1499999999999999</v>
      </c>
      <c r="BF39" s="353">
        <f>3.81+0.036</f>
        <v>3.8460000000000001</v>
      </c>
      <c r="BG39" s="353">
        <f>3.81+0.036</f>
        <v>3.8460000000000001</v>
      </c>
      <c r="BH39" s="353">
        <f>5.75+0.036+0.036</f>
        <v>5.8219999999999992</v>
      </c>
      <c r="BI39" s="350">
        <f>(BH39*BG39*BF39)/1728</f>
        <v>4.9836441291666665E-2</v>
      </c>
      <c r="BJ39" s="340">
        <v>0.09</v>
      </c>
      <c r="BK39" s="349">
        <v>16</v>
      </c>
      <c r="BL39" s="349">
        <v>12</v>
      </c>
      <c r="BM39" s="349">
        <f>5.87+0.5</f>
        <v>6.37</v>
      </c>
      <c r="BN39" s="350">
        <f>(BM39*BL39*BK39)/1728</f>
        <v>0.70777777777777773</v>
      </c>
      <c r="BO39" s="341">
        <v>0.76</v>
      </c>
      <c r="BP39" s="341"/>
      <c r="BQ39" s="341"/>
      <c r="BR39" s="323" t="s">
        <v>733</v>
      </c>
      <c r="BS39" s="332">
        <v>12</v>
      </c>
      <c r="BT39" s="332">
        <v>10</v>
      </c>
      <c r="BU39" s="332">
        <v>7</v>
      </c>
      <c r="BV39" s="321">
        <f>BS39*BT39*BU39</f>
        <v>840</v>
      </c>
      <c r="BW39" s="351">
        <f t="shared" si="16"/>
        <v>1144.7999999999997</v>
      </c>
      <c r="BX39" s="351" t="s">
        <v>743</v>
      </c>
      <c r="BY39" s="342" t="s">
        <v>783</v>
      </c>
      <c r="BZ39" s="331"/>
      <c r="CA39" s="331"/>
      <c r="CB39" s="331"/>
      <c r="CC39" s="331"/>
      <c r="CD39" s="331"/>
    </row>
    <row r="40" spans="1:82" s="316" customFormat="1" x14ac:dyDescent="0.25">
      <c r="A40" s="345">
        <v>42725</v>
      </c>
      <c r="B40" s="333" t="s">
        <v>14</v>
      </c>
      <c r="C40" s="333" t="s">
        <v>2752</v>
      </c>
      <c r="D40" s="333" t="s">
        <v>746</v>
      </c>
      <c r="E40" s="333" t="s">
        <v>934</v>
      </c>
      <c r="F40" s="211" t="s">
        <v>2753</v>
      </c>
      <c r="G40" s="328" t="s">
        <v>749</v>
      </c>
      <c r="H40" s="344" t="s">
        <v>2754</v>
      </c>
      <c r="I40" s="356" t="s">
        <v>748</v>
      </c>
      <c r="J40" s="356">
        <v>94775933</v>
      </c>
      <c r="K40" s="319"/>
      <c r="L40" s="320"/>
      <c r="M40" s="320"/>
      <c r="N40" s="320"/>
      <c r="O40" s="230"/>
      <c r="P40" s="230"/>
      <c r="Q40" s="230"/>
      <c r="R40" s="230"/>
      <c r="S40" s="230"/>
      <c r="T40" s="230"/>
      <c r="U40" s="319"/>
      <c r="V40" s="324"/>
      <c r="W40" s="319"/>
      <c r="X40" s="324"/>
      <c r="Y40" s="322"/>
      <c r="Z40" s="324"/>
      <c r="AA40" s="319"/>
      <c r="AB40" s="356"/>
      <c r="AC40" s="356" t="s">
        <v>2755</v>
      </c>
      <c r="AD40" s="328"/>
      <c r="AE40" s="356"/>
      <c r="AF40" s="356"/>
      <c r="AG40" s="356"/>
      <c r="AH40" s="356"/>
      <c r="AI40" s="356"/>
      <c r="AJ40" s="356"/>
      <c r="AK40" s="356"/>
      <c r="AL40" s="322"/>
      <c r="AM40" s="356" t="s">
        <v>2756</v>
      </c>
      <c r="AN40" s="356" t="s">
        <v>2757</v>
      </c>
      <c r="AO40" s="356"/>
      <c r="AP40" s="356" t="s">
        <v>2757</v>
      </c>
      <c r="AQ40" s="356"/>
      <c r="AR40" s="159">
        <v>11.71</v>
      </c>
      <c r="AS40" s="330"/>
      <c r="AT40" s="111"/>
      <c r="AU40" s="111"/>
      <c r="AV40" s="111"/>
      <c r="AW40" s="312"/>
      <c r="AX40" s="336" t="s">
        <v>2860</v>
      </c>
      <c r="AY40" s="336" t="s">
        <v>2861</v>
      </c>
      <c r="AZ40" s="358">
        <v>10.73</v>
      </c>
      <c r="BA40" s="358">
        <v>10.1</v>
      </c>
      <c r="BB40" s="358">
        <v>1.67</v>
      </c>
      <c r="BC40" s="348"/>
      <c r="BD40" s="348"/>
      <c r="BE40" s="340">
        <v>0.63</v>
      </c>
      <c r="BF40" s="353">
        <f>10.31+0.036</f>
        <v>10.346</v>
      </c>
      <c r="BG40" s="353">
        <f>1.85+0.036</f>
        <v>1.8860000000000001</v>
      </c>
      <c r="BH40" s="353">
        <f>10.98+0.036+0.036</f>
        <v>11.052</v>
      </c>
      <c r="BI40" s="350">
        <f t="shared" ref="BI40:BI55" si="17">(BH40*BG40*BF40)/1728</f>
        <v>0.12479905608333333</v>
      </c>
      <c r="BJ40" s="340">
        <v>0.25</v>
      </c>
      <c r="BK40" s="349">
        <f>11.42+0.25</f>
        <v>11.67</v>
      </c>
      <c r="BL40" s="349">
        <f>11.22+0.25</f>
        <v>11.47</v>
      </c>
      <c r="BM40" s="349">
        <f>10.78+0.5</f>
        <v>11.28</v>
      </c>
      <c r="BN40" s="350">
        <f t="shared" ref="BN40:BN55" si="18">(BM40*BL40*BK40)/1728</f>
        <v>0.87377504166666653</v>
      </c>
      <c r="BO40" s="341">
        <v>0.2</v>
      </c>
      <c r="BP40" s="341"/>
      <c r="BQ40" s="341"/>
      <c r="BR40" s="323" t="s">
        <v>733</v>
      </c>
      <c r="BS40" s="332">
        <v>6</v>
      </c>
      <c r="BT40" s="332">
        <v>12</v>
      </c>
      <c r="BU40" s="332">
        <v>3</v>
      </c>
      <c r="BV40" s="321">
        <f t="shared" ref="BV40:BV55" si="19">BS40*BT40*BU40</f>
        <v>216</v>
      </c>
      <c r="BW40" s="351">
        <f t="shared" si="16"/>
        <v>247.28000000000003</v>
      </c>
      <c r="BX40" s="351" t="s">
        <v>734</v>
      </c>
      <c r="BY40" s="342" t="s">
        <v>735</v>
      </c>
      <c r="BZ40" s="331"/>
      <c r="CA40" s="331"/>
      <c r="CB40" s="331"/>
      <c r="CC40" s="331"/>
      <c r="CD40" s="331"/>
    </row>
    <row r="41" spans="1:82" s="316" customFormat="1" x14ac:dyDescent="0.25">
      <c r="A41" s="345">
        <v>42725</v>
      </c>
      <c r="B41" s="333" t="s">
        <v>14</v>
      </c>
      <c r="C41" s="333" t="s">
        <v>2758</v>
      </c>
      <c r="D41" s="333" t="s">
        <v>746</v>
      </c>
      <c r="E41" s="333" t="s">
        <v>991</v>
      </c>
      <c r="F41" s="211" t="s">
        <v>2759</v>
      </c>
      <c r="G41" s="328" t="s">
        <v>869</v>
      </c>
      <c r="H41" s="344" t="s">
        <v>2760</v>
      </c>
      <c r="I41" s="356"/>
      <c r="J41" s="356"/>
      <c r="K41" s="319"/>
      <c r="L41" s="320"/>
      <c r="M41" s="320"/>
      <c r="N41" s="320"/>
      <c r="O41" s="230"/>
      <c r="P41" s="230"/>
      <c r="Q41" s="230"/>
      <c r="R41" s="230"/>
      <c r="S41" s="230"/>
      <c r="T41" s="230"/>
      <c r="U41" s="319"/>
      <c r="V41" s="324"/>
      <c r="W41" s="319"/>
      <c r="X41" s="324"/>
      <c r="Y41" s="322"/>
      <c r="Z41" s="324"/>
      <c r="AA41" s="319"/>
      <c r="AB41" s="356"/>
      <c r="AC41" s="356" t="s">
        <v>2761</v>
      </c>
      <c r="AD41" s="328"/>
      <c r="AE41" s="356"/>
      <c r="AF41" s="356"/>
      <c r="AG41" s="356"/>
      <c r="AH41" s="356"/>
      <c r="AI41" s="356"/>
      <c r="AJ41" s="356"/>
      <c r="AK41" s="356">
        <v>200212</v>
      </c>
      <c r="AL41" s="322"/>
      <c r="AM41" s="356"/>
      <c r="AN41" s="356" t="s">
        <v>2762</v>
      </c>
      <c r="AO41" s="356"/>
      <c r="AP41" s="356" t="s">
        <v>2762</v>
      </c>
      <c r="AQ41" s="356" t="s">
        <v>2763</v>
      </c>
      <c r="AR41" s="159">
        <v>11.8</v>
      </c>
      <c r="AS41" s="330"/>
      <c r="AT41" s="111"/>
      <c r="AU41" s="111"/>
      <c r="AV41" s="111"/>
      <c r="AW41" s="312"/>
      <c r="AX41" s="336" t="s">
        <v>2862</v>
      </c>
      <c r="AY41" s="336" t="s">
        <v>2863</v>
      </c>
      <c r="AZ41" s="358">
        <v>7.78</v>
      </c>
      <c r="BA41" s="358">
        <v>5.87</v>
      </c>
      <c r="BB41" s="358">
        <v>1.99</v>
      </c>
      <c r="BC41" s="348"/>
      <c r="BD41" s="348"/>
      <c r="BE41" s="340">
        <v>0.47</v>
      </c>
      <c r="BF41" s="353">
        <f>7.75+0.036</f>
        <v>7.7859999999999996</v>
      </c>
      <c r="BG41" s="353">
        <f>2.5+0.036</f>
        <v>2.536</v>
      </c>
      <c r="BH41" s="353">
        <f>9.036+0.036</f>
        <v>9.0719999999999992</v>
      </c>
      <c r="BI41" s="350">
        <f t="shared" si="17"/>
        <v>0.10366280399999998</v>
      </c>
      <c r="BJ41" s="340">
        <v>0.16</v>
      </c>
      <c r="BK41" s="349">
        <f>15.12+0.25</f>
        <v>15.37</v>
      </c>
      <c r="BL41" s="349">
        <v>9.75</v>
      </c>
      <c r="BM41" s="349">
        <v>9</v>
      </c>
      <c r="BN41" s="350">
        <f t="shared" si="18"/>
        <v>0.78050781250000001</v>
      </c>
      <c r="BO41" s="354">
        <v>0.67</v>
      </c>
      <c r="BP41" s="354"/>
      <c r="BQ41" s="354"/>
      <c r="BR41" s="323" t="s">
        <v>733</v>
      </c>
      <c r="BS41" s="332">
        <v>6</v>
      </c>
      <c r="BT41" s="332">
        <v>12</v>
      </c>
      <c r="BU41" s="332">
        <v>5</v>
      </c>
      <c r="BV41" s="321">
        <f t="shared" si="19"/>
        <v>360</v>
      </c>
      <c r="BW41" s="351">
        <f t="shared" si="16"/>
        <v>317</v>
      </c>
      <c r="BX41" s="351" t="s">
        <v>743</v>
      </c>
      <c r="BY41" s="342" t="s">
        <v>735</v>
      </c>
      <c r="BZ41" s="331"/>
      <c r="CA41" s="331"/>
      <c r="CB41" s="331"/>
      <c r="CC41" s="331"/>
      <c r="CD41" s="331"/>
    </row>
    <row r="42" spans="1:82" s="316" customFormat="1" x14ac:dyDescent="0.25">
      <c r="A42" s="345">
        <v>42725</v>
      </c>
      <c r="B42" s="333" t="s">
        <v>14</v>
      </c>
      <c r="C42" s="333" t="s">
        <v>2764</v>
      </c>
      <c r="D42" s="333" t="s">
        <v>746</v>
      </c>
      <c r="E42" s="333" t="s">
        <v>991</v>
      </c>
      <c r="F42" s="211" t="s">
        <v>2765</v>
      </c>
      <c r="G42" s="328" t="s">
        <v>1262</v>
      </c>
      <c r="H42" s="344" t="s">
        <v>2766</v>
      </c>
      <c r="I42" s="356"/>
      <c r="J42" s="356"/>
      <c r="K42" s="319"/>
      <c r="L42" s="320"/>
      <c r="M42" s="320"/>
      <c r="N42" s="320"/>
      <c r="O42" s="230"/>
      <c r="P42" s="230"/>
      <c r="Q42" s="230"/>
      <c r="R42" s="230"/>
      <c r="S42" s="230"/>
      <c r="T42" s="230"/>
      <c r="U42" s="319" t="s">
        <v>2767</v>
      </c>
      <c r="V42" s="324"/>
      <c r="W42" s="319">
        <v>83480</v>
      </c>
      <c r="X42" s="324"/>
      <c r="Y42" s="322"/>
      <c r="Z42" s="324"/>
      <c r="AA42" s="319"/>
      <c r="AB42" s="356" t="s">
        <v>2768</v>
      </c>
      <c r="AC42" s="356" t="s">
        <v>2769</v>
      </c>
      <c r="AD42" s="328"/>
      <c r="AE42" s="356"/>
      <c r="AF42" s="356"/>
      <c r="AG42" s="356"/>
      <c r="AH42" s="356"/>
      <c r="AI42" s="356"/>
      <c r="AJ42" s="356"/>
      <c r="AK42" s="356">
        <v>9480</v>
      </c>
      <c r="AL42" s="322" t="s">
        <v>2770</v>
      </c>
      <c r="AM42" s="356" t="s">
        <v>2771</v>
      </c>
      <c r="AN42" s="356" t="s">
        <v>2772</v>
      </c>
      <c r="AO42" s="356"/>
      <c r="AP42" s="356" t="s">
        <v>2773</v>
      </c>
      <c r="AQ42" s="356">
        <v>49480</v>
      </c>
      <c r="AR42" s="159">
        <v>11.98</v>
      </c>
      <c r="AS42" s="330"/>
      <c r="AT42" s="111"/>
      <c r="AU42" s="111"/>
      <c r="AV42" s="111"/>
      <c r="AW42" s="312"/>
      <c r="AX42" s="336" t="s">
        <v>2864</v>
      </c>
      <c r="AY42" s="336" t="s">
        <v>2865</v>
      </c>
      <c r="AZ42" s="358">
        <v>10.14</v>
      </c>
      <c r="BA42" s="358">
        <v>6.4</v>
      </c>
      <c r="BB42" s="358">
        <v>2.08</v>
      </c>
      <c r="BC42" s="348"/>
      <c r="BD42" s="348"/>
      <c r="BE42" s="340">
        <v>0.48</v>
      </c>
      <c r="BF42" s="353">
        <f>6.85+0.036</f>
        <v>6.8859999999999992</v>
      </c>
      <c r="BG42" s="353">
        <f>2.12+0.036</f>
        <v>2.1560000000000001</v>
      </c>
      <c r="BH42" s="353">
        <f>10.16+0.036+0.036</f>
        <v>10.231999999999999</v>
      </c>
      <c r="BI42" s="350">
        <f t="shared" si="17"/>
        <v>8.7908843814814813E-2</v>
      </c>
      <c r="BJ42" s="340">
        <v>0.2</v>
      </c>
      <c r="BK42" s="349">
        <f>11.81+0.25</f>
        <v>12.06</v>
      </c>
      <c r="BL42" s="349">
        <f>11.42+0.25</f>
        <v>11.67</v>
      </c>
      <c r="BM42" s="349">
        <f>9.45+0.5</f>
        <v>9.9499999999999993</v>
      </c>
      <c r="BN42" s="350">
        <f t="shared" si="18"/>
        <v>0.81039640624999987</v>
      </c>
      <c r="BO42" s="341">
        <v>0.2</v>
      </c>
      <c r="BP42" s="341"/>
      <c r="BQ42" s="341"/>
      <c r="BR42" s="323" t="s">
        <v>733</v>
      </c>
      <c r="BS42" s="332">
        <v>6</v>
      </c>
      <c r="BT42" s="332">
        <v>12</v>
      </c>
      <c r="BU42" s="332">
        <v>4</v>
      </c>
      <c r="BV42" s="321">
        <f t="shared" si="19"/>
        <v>288</v>
      </c>
      <c r="BW42" s="351">
        <f t="shared" si="16"/>
        <v>255.44</v>
      </c>
      <c r="BX42" s="351" t="s">
        <v>782</v>
      </c>
      <c r="BY42" s="342" t="s">
        <v>735</v>
      </c>
      <c r="BZ42" s="331"/>
      <c r="CA42" s="331"/>
      <c r="CB42" s="331"/>
      <c r="CC42" s="331"/>
      <c r="CD42" s="331"/>
    </row>
    <row r="43" spans="1:82" s="316" customFormat="1" x14ac:dyDescent="0.25">
      <c r="A43" s="345">
        <v>42725</v>
      </c>
      <c r="B43" s="333" t="s">
        <v>14</v>
      </c>
      <c r="C43" s="333" t="s">
        <v>2774</v>
      </c>
      <c r="D43" s="333" t="s">
        <v>746</v>
      </c>
      <c r="E43" s="333" t="s">
        <v>2775</v>
      </c>
      <c r="F43" s="211" t="s">
        <v>2776</v>
      </c>
      <c r="G43" s="328" t="s">
        <v>748</v>
      </c>
      <c r="H43" s="344">
        <v>23327845</v>
      </c>
      <c r="I43" s="356"/>
      <c r="J43" s="356"/>
      <c r="K43" s="319"/>
      <c r="L43" s="320"/>
      <c r="M43" s="320"/>
      <c r="N43" s="320"/>
      <c r="O43" s="230"/>
      <c r="P43" s="230"/>
      <c r="Q43" s="230"/>
      <c r="R43" s="230"/>
      <c r="S43" s="230"/>
      <c r="T43" s="230"/>
      <c r="U43" s="319" t="s">
        <v>2777</v>
      </c>
      <c r="V43" s="324"/>
      <c r="W43" s="319"/>
      <c r="X43" s="324" t="s">
        <v>2778</v>
      </c>
      <c r="Y43" s="322"/>
      <c r="Z43" s="324"/>
      <c r="AA43" s="319"/>
      <c r="AB43" s="356"/>
      <c r="AC43" s="356"/>
      <c r="AD43" s="328"/>
      <c r="AE43" s="356"/>
      <c r="AF43" s="356"/>
      <c r="AG43" s="356"/>
      <c r="AH43" s="356"/>
      <c r="AI43" s="356"/>
      <c r="AJ43" s="356"/>
      <c r="AK43" s="356"/>
      <c r="AL43" s="322"/>
      <c r="AM43" s="356"/>
      <c r="AN43" s="356" t="s">
        <v>2779</v>
      </c>
      <c r="AO43" s="356"/>
      <c r="AP43" s="356"/>
      <c r="AQ43" s="356"/>
      <c r="AR43" s="159">
        <v>51.62</v>
      </c>
      <c r="AS43" s="330"/>
      <c r="AT43" s="111"/>
      <c r="AU43" s="111"/>
      <c r="AV43" s="111"/>
      <c r="AW43" s="312"/>
      <c r="AX43" s="336" t="s">
        <v>2866</v>
      </c>
      <c r="AY43" s="336" t="s">
        <v>2867</v>
      </c>
      <c r="AZ43" s="348"/>
      <c r="BA43" s="348"/>
      <c r="BB43" s="348"/>
      <c r="BC43" s="358">
        <v>5.4</v>
      </c>
      <c r="BD43" s="358">
        <v>13.15</v>
      </c>
      <c r="BE43" s="340">
        <v>1.29</v>
      </c>
      <c r="BF43" s="353">
        <f>5.75+0.036</f>
        <v>5.7859999999999996</v>
      </c>
      <c r="BG43" s="353">
        <f>5.75+0.036</f>
        <v>5.7859999999999996</v>
      </c>
      <c r="BH43" s="353">
        <f>13.5+0.036+0.036</f>
        <v>13.571999999999999</v>
      </c>
      <c r="BI43" s="350">
        <f t="shared" si="17"/>
        <v>0.26294018941666658</v>
      </c>
      <c r="BJ43" s="340">
        <v>0.25</v>
      </c>
      <c r="BK43" s="349">
        <v>18</v>
      </c>
      <c r="BL43" s="349">
        <v>13.75</v>
      </c>
      <c r="BM43" s="349">
        <v>14</v>
      </c>
      <c r="BN43" s="350">
        <f t="shared" si="18"/>
        <v>2.0052083333333335</v>
      </c>
      <c r="BO43" s="354">
        <v>1.26</v>
      </c>
      <c r="BP43" s="354"/>
      <c r="BQ43" s="354"/>
      <c r="BR43" s="323" t="s">
        <v>733</v>
      </c>
      <c r="BS43" s="332">
        <v>6</v>
      </c>
      <c r="BT43" s="332">
        <v>6</v>
      </c>
      <c r="BU43" s="332">
        <v>3</v>
      </c>
      <c r="BV43" s="321">
        <f t="shared" si="19"/>
        <v>108</v>
      </c>
      <c r="BW43" s="351">
        <f t="shared" si="16"/>
        <v>239</v>
      </c>
      <c r="BX43" s="351" t="s">
        <v>890</v>
      </c>
      <c r="BY43" s="342" t="s">
        <v>735</v>
      </c>
      <c r="BZ43" s="331"/>
      <c r="CA43" s="331"/>
      <c r="CB43" s="331"/>
      <c r="CC43" s="331"/>
      <c r="CD43" s="331"/>
    </row>
    <row r="44" spans="1:82" s="316" customFormat="1" x14ac:dyDescent="0.25">
      <c r="A44" s="345">
        <v>42725</v>
      </c>
      <c r="B44" s="333" t="s">
        <v>14</v>
      </c>
      <c r="C44" s="333" t="s">
        <v>2780</v>
      </c>
      <c r="D44" s="333" t="s">
        <v>746</v>
      </c>
      <c r="E44" s="333" t="s">
        <v>934</v>
      </c>
      <c r="F44" s="211" t="s">
        <v>2781</v>
      </c>
      <c r="G44" s="328" t="s">
        <v>722</v>
      </c>
      <c r="H44" s="344" t="s">
        <v>2782</v>
      </c>
      <c r="I44" s="356"/>
      <c r="J44" s="356"/>
      <c r="K44" s="319"/>
      <c r="L44" s="320"/>
      <c r="M44" s="320"/>
      <c r="N44" s="320"/>
      <c r="O44" s="230"/>
      <c r="P44" s="230"/>
      <c r="Q44" s="230"/>
      <c r="R44" s="230"/>
      <c r="S44" s="230"/>
      <c r="T44" s="230"/>
      <c r="U44" s="319"/>
      <c r="V44" s="324"/>
      <c r="W44" s="319">
        <v>93645</v>
      </c>
      <c r="X44" s="324"/>
      <c r="Y44" s="322"/>
      <c r="Z44" s="324"/>
      <c r="AA44" s="319"/>
      <c r="AB44" s="356"/>
      <c r="AC44" s="356"/>
      <c r="AD44" s="328"/>
      <c r="AE44" s="356"/>
      <c r="AF44" s="356"/>
      <c r="AG44" s="356"/>
      <c r="AH44" s="356"/>
      <c r="AI44" s="356"/>
      <c r="AJ44" s="356" t="s">
        <v>2783</v>
      </c>
      <c r="AK44" s="356"/>
      <c r="AL44" s="322" t="s">
        <v>2784</v>
      </c>
      <c r="AM44" s="356"/>
      <c r="AN44" s="356"/>
      <c r="AO44" s="356"/>
      <c r="AP44" s="356" t="s">
        <v>2785</v>
      </c>
      <c r="AQ44" s="356"/>
      <c r="AR44" s="159">
        <v>11.93</v>
      </c>
      <c r="AS44" s="330"/>
      <c r="AT44" s="111"/>
      <c r="AU44" s="111"/>
      <c r="AV44" s="111"/>
      <c r="AW44" s="312"/>
      <c r="AX44" s="336" t="s">
        <v>2868</v>
      </c>
      <c r="AY44" s="336" t="s">
        <v>2869</v>
      </c>
      <c r="AZ44" s="358">
        <v>11.18</v>
      </c>
      <c r="BA44" s="358">
        <v>10.199999999999999</v>
      </c>
      <c r="BB44" s="358">
        <v>2.21</v>
      </c>
      <c r="BC44" s="348"/>
      <c r="BD44" s="348"/>
      <c r="BE44" s="340">
        <v>0.72</v>
      </c>
      <c r="BF44" s="353">
        <f>11.25+0.018+0.018</f>
        <v>11.286000000000001</v>
      </c>
      <c r="BG44" s="353">
        <f>2.68+0.018+0.018</f>
        <v>2.7159999999999997</v>
      </c>
      <c r="BH44" s="353">
        <f>11.25+(4*0.018)</f>
        <v>11.321999999999999</v>
      </c>
      <c r="BI44" s="350">
        <f t="shared" si="17"/>
        <v>0.20083954274999999</v>
      </c>
      <c r="BJ44" s="340">
        <v>0.28000000000000003</v>
      </c>
      <c r="BK44" s="349">
        <f>16.62+0.25</f>
        <v>16.87</v>
      </c>
      <c r="BL44" s="349">
        <v>11.75</v>
      </c>
      <c r="BM44" s="349">
        <v>12</v>
      </c>
      <c r="BN44" s="350">
        <f t="shared" si="18"/>
        <v>1.376545138888889</v>
      </c>
      <c r="BO44" s="354">
        <v>0.97</v>
      </c>
      <c r="BP44" s="354"/>
      <c r="BQ44" s="354"/>
      <c r="BR44" s="323" t="s">
        <v>733</v>
      </c>
      <c r="BS44" s="332">
        <v>6</v>
      </c>
      <c r="BT44" s="332">
        <v>8</v>
      </c>
      <c r="BU44" s="332">
        <v>3</v>
      </c>
      <c r="BV44" s="321">
        <f t="shared" si="19"/>
        <v>144</v>
      </c>
      <c r="BW44" s="351">
        <f t="shared" si="16"/>
        <v>217.28</v>
      </c>
      <c r="BX44" s="351" t="s">
        <v>743</v>
      </c>
      <c r="BY44" s="342" t="s">
        <v>735</v>
      </c>
      <c r="BZ44" s="331"/>
      <c r="CA44" s="331"/>
      <c r="CB44" s="331"/>
      <c r="CC44" s="331"/>
      <c r="CD44" s="331"/>
    </row>
    <row r="45" spans="1:82" s="316" customFormat="1" x14ac:dyDescent="0.25">
      <c r="A45" s="345">
        <v>42725</v>
      </c>
      <c r="B45" s="333" t="s">
        <v>14</v>
      </c>
      <c r="C45" s="333" t="s">
        <v>2786</v>
      </c>
      <c r="D45" s="333" t="s">
        <v>746</v>
      </c>
      <c r="E45" s="333" t="s">
        <v>2787</v>
      </c>
      <c r="F45" s="211" t="s">
        <v>2788</v>
      </c>
      <c r="G45" s="328" t="s">
        <v>769</v>
      </c>
      <c r="H45" s="344">
        <v>13327811227</v>
      </c>
      <c r="I45" s="356"/>
      <c r="J45" s="356"/>
      <c r="K45" s="319"/>
      <c r="L45" s="320"/>
      <c r="M45" s="320"/>
      <c r="N45" s="320"/>
      <c r="O45" s="230"/>
      <c r="P45" s="230"/>
      <c r="Q45" s="230"/>
      <c r="R45" s="230"/>
      <c r="S45" s="230"/>
      <c r="T45" s="230"/>
      <c r="U45" s="319"/>
      <c r="V45" s="324"/>
      <c r="W45" s="319"/>
      <c r="X45" s="324"/>
      <c r="Y45" s="322"/>
      <c r="Z45" s="324"/>
      <c r="AA45" s="319"/>
      <c r="AB45" s="356"/>
      <c r="AC45" s="356"/>
      <c r="AD45" s="328"/>
      <c r="AE45" s="356"/>
      <c r="AF45" s="356" t="s">
        <v>2789</v>
      </c>
      <c r="AG45" s="356"/>
      <c r="AH45" s="356" t="s">
        <v>2790</v>
      </c>
      <c r="AI45" s="356"/>
      <c r="AJ45" s="356"/>
      <c r="AK45" s="356"/>
      <c r="AL45" s="322"/>
      <c r="AM45" s="356"/>
      <c r="AN45" s="356"/>
      <c r="AO45" s="356"/>
      <c r="AP45" s="356"/>
      <c r="AQ45" s="356"/>
      <c r="AR45" s="159">
        <v>29.84</v>
      </c>
      <c r="AS45" s="330">
        <v>0.5</v>
      </c>
      <c r="AT45" s="111">
        <v>0.55000000000000004</v>
      </c>
      <c r="AU45" s="111">
        <v>0.35</v>
      </c>
      <c r="AV45" s="111">
        <v>0.38</v>
      </c>
      <c r="AW45" s="312"/>
      <c r="AX45" s="336" t="s">
        <v>2870</v>
      </c>
      <c r="AY45" s="336" t="s">
        <v>2871</v>
      </c>
      <c r="AZ45" s="348"/>
      <c r="BA45" s="348"/>
      <c r="BB45" s="348"/>
      <c r="BC45" s="358">
        <v>9.843</v>
      </c>
      <c r="BD45" s="358">
        <v>2.6179999999999999</v>
      </c>
      <c r="BE45" s="340">
        <v>0.56000000000000005</v>
      </c>
      <c r="BF45" s="353">
        <f>3.81+0.036</f>
        <v>3.8460000000000001</v>
      </c>
      <c r="BG45" s="353">
        <f>3.81+0.036</f>
        <v>3.8460000000000001</v>
      </c>
      <c r="BH45" s="353">
        <f>11.43+0.036+0.036</f>
        <v>11.501999999999999</v>
      </c>
      <c r="BI45" s="350">
        <f t="shared" si="17"/>
        <v>9.845735962499999E-2</v>
      </c>
      <c r="BJ45" s="340">
        <v>0.15</v>
      </c>
      <c r="BK45" s="349">
        <f>15.87+0.25</f>
        <v>16.119999999999997</v>
      </c>
      <c r="BL45" s="349">
        <v>12.25</v>
      </c>
      <c r="BM45" s="349">
        <v>12.5</v>
      </c>
      <c r="BN45" s="350">
        <f t="shared" si="18"/>
        <v>1.4284577546296293</v>
      </c>
      <c r="BO45" s="341">
        <v>1</v>
      </c>
      <c r="BP45" s="341"/>
      <c r="BQ45" s="341"/>
      <c r="BR45" s="323" t="s">
        <v>733</v>
      </c>
      <c r="BS45" s="332">
        <v>12</v>
      </c>
      <c r="BT45" s="332">
        <v>8</v>
      </c>
      <c r="BU45" s="332">
        <v>3</v>
      </c>
      <c r="BV45" s="321">
        <f t="shared" si="19"/>
        <v>288</v>
      </c>
      <c r="BW45" s="351">
        <f t="shared" si="16"/>
        <v>278.48</v>
      </c>
      <c r="BX45" s="351" t="s">
        <v>782</v>
      </c>
      <c r="BY45" s="342" t="s">
        <v>783</v>
      </c>
      <c r="BZ45" s="331"/>
      <c r="CA45" s="331"/>
      <c r="CB45" s="331"/>
      <c r="CC45" s="331"/>
      <c r="CD45" s="331"/>
    </row>
    <row r="46" spans="1:82" s="316" customFormat="1" ht="30" x14ac:dyDescent="0.25">
      <c r="A46" s="345">
        <v>42725</v>
      </c>
      <c r="B46" s="333" t="s">
        <v>14</v>
      </c>
      <c r="C46" s="333" t="s">
        <v>2791</v>
      </c>
      <c r="D46" s="333" t="s">
        <v>746</v>
      </c>
      <c r="E46" s="333" t="s">
        <v>2787</v>
      </c>
      <c r="F46" s="211" t="s">
        <v>2792</v>
      </c>
      <c r="G46" s="328" t="s">
        <v>2793</v>
      </c>
      <c r="H46" s="344">
        <v>6420904852</v>
      </c>
      <c r="I46" s="356"/>
      <c r="J46" s="356"/>
      <c r="K46" s="319"/>
      <c r="L46" s="320"/>
      <c r="M46" s="320"/>
      <c r="N46" s="320"/>
      <c r="O46" s="230"/>
      <c r="P46" s="230"/>
      <c r="Q46" s="230"/>
      <c r="R46" s="230"/>
      <c r="S46" s="230"/>
      <c r="T46" s="230"/>
      <c r="U46" s="319" t="s">
        <v>2893</v>
      </c>
      <c r="V46" s="324"/>
      <c r="W46" s="319"/>
      <c r="X46" s="324"/>
      <c r="Y46" s="322"/>
      <c r="Z46" s="324"/>
      <c r="AA46" s="319" t="s">
        <v>2894</v>
      </c>
      <c r="AB46" s="359"/>
      <c r="AC46" s="359"/>
      <c r="AD46" s="328"/>
      <c r="AE46" s="359"/>
      <c r="AF46" s="359"/>
      <c r="AG46" s="359"/>
      <c r="AH46" s="359" t="s">
        <v>2794</v>
      </c>
      <c r="AI46" s="359"/>
      <c r="AJ46" s="359"/>
      <c r="AK46" s="359"/>
      <c r="AL46" s="322"/>
      <c r="AM46" s="359"/>
      <c r="AN46" s="359"/>
      <c r="AO46" s="359"/>
      <c r="AP46" s="359"/>
      <c r="AQ46" s="359">
        <v>33251</v>
      </c>
      <c r="AR46" s="159">
        <v>44.45</v>
      </c>
      <c r="AS46" s="330">
        <v>0.5</v>
      </c>
      <c r="AT46" s="111">
        <v>0.55000000000000004</v>
      </c>
      <c r="AU46" s="111">
        <v>0.35</v>
      </c>
      <c r="AV46" s="111">
        <v>0.38</v>
      </c>
      <c r="AW46" s="312"/>
      <c r="AX46" s="336" t="s">
        <v>2872</v>
      </c>
      <c r="AY46" s="336" t="s">
        <v>2873</v>
      </c>
      <c r="AZ46" s="348"/>
      <c r="BA46" s="348"/>
      <c r="BB46" s="348"/>
      <c r="BC46" s="358">
        <v>3.6019999999999999</v>
      </c>
      <c r="BD46" s="358">
        <v>4.6260000000000003</v>
      </c>
      <c r="BE46" s="340">
        <v>0.73</v>
      </c>
      <c r="BF46" s="353">
        <f>3.812+0.018+0.018</f>
        <v>3.8479999999999994</v>
      </c>
      <c r="BG46" s="353">
        <f>3.812+0.018+0.018</f>
        <v>3.8479999999999994</v>
      </c>
      <c r="BH46" s="353">
        <f>5.375+(4*0.018)</f>
        <v>5.4470000000000001</v>
      </c>
      <c r="BI46" s="350">
        <f t="shared" si="17"/>
        <v>4.6674939518518505E-2</v>
      </c>
      <c r="BJ46" s="340">
        <v>0.08</v>
      </c>
      <c r="BK46" s="349">
        <f>15.56+0.25</f>
        <v>15.81</v>
      </c>
      <c r="BL46" s="349">
        <f>11.68+0.25</f>
        <v>11.93</v>
      </c>
      <c r="BM46" s="349">
        <v>6</v>
      </c>
      <c r="BN46" s="350">
        <f t="shared" si="18"/>
        <v>0.65490729166666672</v>
      </c>
      <c r="BO46" s="354">
        <v>0.75</v>
      </c>
      <c r="BP46" s="354"/>
      <c r="BQ46" s="354"/>
      <c r="BR46" s="323" t="s">
        <v>733</v>
      </c>
      <c r="BS46" s="332">
        <v>12</v>
      </c>
      <c r="BT46" s="332">
        <v>10</v>
      </c>
      <c r="BU46" s="332">
        <v>7</v>
      </c>
      <c r="BV46" s="321">
        <f t="shared" si="19"/>
        <v>840</v>
      </c>
      <c r="BW46" s="351">
        <f t="shared" si="16"/>
        <v>782.89999999999986</v>
      </c>
      <c r="BX46" s="351" t="s">
        <v>782</v>
      </c>
      <c r="BY46" s="342" t="s">
        <v>783</v>
      </c>
      <c r="BZ46" s="331"/>
      <c r="CA46" s="331"/>
      <c r="CB46" s="331"/>
      <c r="CC46" s="331"/>
      <c r="CD46" s="331"/>
    </row>
    <row r="47" spans="1:82" s="316" customFormat="1" x14ac:dyDescent="0.25">
      <c r="A47" s="345">
        <v>42725</v>
      </c>
      <c r="B47" s="333" t="s">
        <v>14</v>
      </c>
      <c r="C47" s="333" t="s">
        <v>2795</v>
      </c>
      <c r="D47" s="333" t="s">
        <v>746</v>
      </c>
      <c r="E47" s="333" t="s">
        <v>65</v>
      </c>
      <c r="F47" s="211" t="s">
        <v>2796</v>
      </c>
      <c r="G47" s="328" t="s">
        <v>722</v>
      </c>
      <c r="H47" s="344" t="s">
        <v>2797</v>
      </c>
      <c r="I47" s="356"/>
      <c r="J47" s="356"/>
      <c r="K47" s="319"/>
      <c r="L47" s="320"/>
      <c r="M47" s="320"/>
      <c r="N47" s="320"/>
      <c r="O47" s="230"/>
      <c r="P47" s="230"/>
      <c r="Q47" s="230"/>
      <c r="R47" s="230"/>
      <c r="S47" s="230"/>
      <c r="T47" s="230"/>
      <c r="U47" s="319" t="s">
        <v>2798</v>
      </c>
      <c r="V47" s="324"/>
      <c r="W47" s="319"/>
      <c r="X47" s="324"/>
      <c r="Y47" s="322"/>
      <c r="Z47" s="324"/>
      <c r="AA47" s="319"/>
      <c r="AB47" s="356"/>
      <c r="AC47" s="356"/>
      <c r="AD47" s="328"/>
      <c r="AE47" s="356"/>
      <c r="AF47" s="356"/>
      <c r="AG47" s="356"/>
      <c r="AH47" s="356"/>
      <c r="AI47" s="356"/>
      <c r="AJ47" s="356" t="s">
        <v>2799</v>
      </c>
      <c r="AK47" s="356"/>
      <c r="AL47" s="322"/>
      <c r="AM47" s="356"/>
      <c r="AN47" s="356"/>
      <c r="AO47" s="356"/>
      <c r="AP47" s="356"/>
      <c r="AQ47" s="356"/>
      <c r="AR47" s="159">
        <v>42.86</v>
      </c>
      <c r="AS47" s="330">
        <v>0.5</v>
      </c>
      <c r="AT47" s="111">
        <v>0.55000000000000004</v>
      </c>
      <c r="AU47" s="111">
        <v>0.35</v>
      </c>
      <c r="AV47" s="111">
        <v>0.38</v>
      </c>
      <c r="AW47" s="312"/>
      <c r="AX47" s="336" t="s">
        <v>2874</v>
      </c>
      <c r="AY47" s="336" t="s">
        <v>2875</v>
      </c>
      <c r="AZ47" s="348"/>
      <c r="BA47" s="348"/>
      <c r="BB47" s="348"/>
      <c r="BC47" s="358">
        <v>4.8499999999999996</v>
      </c>
      <c r="BD47" s="358">
        <v>5.26</v>
      </c>
      <c r="BE47" s="340">
        <v>0.5</v>
      </c>
      <c r="BF47" s="353">
        <f t="shared" ref="BF47:BG48" si="20">4.62+0.036</f>
        <v>4.6559999999999997</v>
      </c>
      <c r="BG47" s="353">
        <f t="shared" si="20"/>
        <v>4.6559999999999997</v>
      </c>
      <c r="BH47" s="353">
        <f t="shared" ref="BH47:BH48" si="21">6.072</f>
        <v>6.0720000000000001</v>
      </c>
      <c r="BI47" s="350">
        <f t="shared" si="17"/>
        <v>7.6175263999999993E-2</v>
      </c>
      <c r="BJ47" s="340">
        <v>0.12</v>
      </c>
      <c r="BK47" s="349">
        <v>19.5</v>
      </c>
      <c r="BL47" s="349">
        <f t="shared" ref="BL47:BL48" si="22">14.37+0.25</f>
        <v>14.62</v>
      </c>
      <c r="BM47" s="349">
        <v>6.62</v>
      </c>
      <c r="BN47" s="350">
        <f t="shared" si="18"/>
        <v>1.0921850694444444</v>
      </c>
      <c r="BO47" s="341">
        <v>1.1100000000000001</v>
      </c>
      <c r="BP47" s="341"/>
      <c r="BQ47" s="341"/>
      <c r="BR47" s="323" t="s">
        <v>733</v>
      </c>
      <c r="BS47" s="332">
        <v>12</v>
      </c>
      <c r="BT47" s="332">
        <v>6</v>
      </c>
      <c r="BU47" s="332">
        <v>6</v>
      </c>
      <c r="BV47" s="321">
        <f t="shared" si="19"/>
        <v>432</v>
      </c>
      <c r="BW47" s="351">
        <f t="shared" si="16"/>
        <v>357.79999999999995</v>
      </c>
      <c r="BX47" s="351" t="s">
        <v>2876</v>
      </c>
      <c r="BY47" s="342" t="s">
        <v>783</v>
      </c>
      <c r="BZ47" s="331"/>
      <c r="CA47" s="331"/>
      <c r="CB47" s="331"/>
      <c r="CC47" s="331"/>
      <c r="CD47" s="331"/>
    </row>
    <row r="48" spans="1:82" s="316" customFormat="1" x14ac:dyDescent="0.25">
      <c r="A48" s="345">
        <v>42725</v>
      </c>
      <c r="B48" s="333" t="s">
        <v>14</v>
      </c>
      <c r="C48" s="333" t="s">
        <v>2800</v>
      </c>
      <c r="D48" s="333" t="s">
        <v>60</v>
      </c>
      <c r="E48" s="333" t="s">
        <v>65</v>
      </c>
      <c r="F48" s="211" t="s">
        <v>2801</v>
      </c>
      <c r="G48" s="328" t="s">
        <v>2802</v>
      </c>
      <c r="H48" s="344" t="s">
        <v>2803</v>
      </c>
      <c r="I48" s="356"/>
      <c r="J48" s="356"/>
      <c r="K48" s="319"/>
      <c r="L48" s="320"/>
      <c r="M48" s="320"/>
      <c r="N48" s="320"/>
      <c r="O48" s="230"/>
      <c r="P48" s="230"/>
      <c r="Q48" s="230"/>
      <c r="R48" s="230"/>
      <c r="S48" s="230"/>
      <c r="T48" s="230"/>
      <c r="U48" s="319" t="s">
        <v>2804</v>
      </c>
      <c r="V48" s="324"/>
      <c r="W48" s="319">
        <v>96112</v>
      </c>
      <c r="X48" s="324"/>
      <c r="Y48" s="322"/>
      <c r="Z48" s="324"/>
      <c r="AA48" s="319"/>
      <c r="AB48" s="356"/>
      <c r="AC48" s="356" t="s">
        <v>2805</v>
      </c>
      <c r="AD48" s="328"/>
      <c r="AE48" s="356"/>
      <c r="AF48" s="356"/>
      <c r="AG48" s="356"/>
      <c r="AH48" s="356"/>
      <c r="AI48" s="356"/>
      <c r="AJ48" s="356"/>
      <c r="AK48" s="356">
        <v>600112</v>
      </c>
      <c r="AL48" s="322"/>
      <c r="AM48" s="356"/>
      <c r="AN48" s="356">
        <v>56085</v>
      </c>
      <c r="AO48" s="356"/>
      <c r="AP48" s="356">
        <v>56085</v>
      </c>
      <c r="AQ48" s="356" t="s">
        <v>2806</v>
      </c>
      <c r="AR48" s="159">
        <v>60.67</v>
      </c>
      <c r="AS48" s="330">
        <v>0.5</v>
      </c>
      <c r="AT48" s="111">
        <v>0.55000000000000004</v>
      </c>
      <c r="AU48" s="111">
        <v>0.35</v>
      </c>
      <c r="AV48" s="111">
        <v>0.38</v>
      </c>
      <c r="AW48" s="312"/>
      <c r="AX48" s="336" t="s">
        <v>2877</v>
      </c>
      <c r="AY48" s="336" t="s">
        <v>2878</v>
      </c>
      <c r="AZ48" s="348"/>
      <c r="BA48" s="348"/>
      <c r="BB48" s="348"/>
      <c r="BC48" s="358">
        <v>4.2439999999999998</v>
      </c>
      <c r="BD48" s="358">
        <v>5.65</v>
      </c>
      <c r="BE48" s="340">
        <v>1.45</v>
      </c>
      <c r="BF48" s="353">
        <f t="shared" si="20"/>
        <v>4.6559999999999997</v>
      </c>
      <c r="BG48" s="353">
        <f t="shared" si="20"/>
        <v>4.6559999999999997</v>
      </c>
      <c r="BH48" s="353">
        <f t="shared" si="21"/>
        <v>6.0720000000000001</v>
      </c>
      <c r="BI48" s="350">
        <f t="shared" si="17"/>
        <v>7.6175263999999993E-2</v>
      </c>
      <c r="BJ48" s="340">
        <v>0.12</v>
      </c>
      <c r="BK48" s="349">
        <v>19.5</v>
      </c>
      <c r="BL48" s="349">
        <f t="shared" si="22"/>
        <v>14.62</v>
      </c>
      <c r="BM48" s="349">
        <v>6.62</v>
      </c>
      <c r="BN48" s="350">
        <f t="shared" si="18"/>
        <v>1.0921850694444444</v>
      </c>
      <c r="BO48" s="354">
        <v>1.1100000000000001</v>
      </c>
      <c r="BP48" s="354"/>
      <c r="BQ48" s="354"/>
      <c r="BR48" s="323" t="s">
        <v>733</v>
      </c>
      <c r="BS48" s="332">
        <v>12</v>
      </c>
      <c r="BT48" s="332">
        <v>6</v>
      </c>
      <c r="BU48" s="332">
        <v>6</v>
      </c>
      <c r="BV48" s="321">
        <f t="shared" si="19"/>
        <v>432</v>
      </c>
      <c r="BW48" s="351">
        <f t="shared" si="16"/>
        <v>768.19999999999982</v>
      </c>
      <c r="BX48" s="351" t="s">
        <v>2876</v>
      </c>
      <c r="BY48" s="342" t="s">
        <v>783</v>
      </c>
      <c r="BZ48" s="331"/>
      <c r="CA48" s="331"/>
      <c r="CB48" s="331"/>
      <c r="CC48" s="331"/>
      <c r="CD48" s="331"/>
    </row>
    <row r="49" spans="1:82" s="316" customFormat="1" x14ac:dyDescent="0.25">
      <c r="A49" s="345">
        <v>42725</v>
      </c>
      <c r="B49" s="333" t="s">
        <v>14</v>
      </c>
      <c r="C49" s="333" t="s">
        <v>2807</v>
      </c>
      <c r="D49" s="333" t="s">
        <v>746</v>
      </c>
      <c r="E49" s="333" t="s">
        <v>2787</v>
      </c>
      <c r="F49" s="211" t="s">
        <v>2808</v>
      </c>
      <c r="G49" s="328" t="s">
        <v>912</v>
      </c>
      <c r="H49" s="344" t="s">
        <v>2809</v>
      </c>
      <c r="I49" s="356"/>
      <c r="J49" s="356"/>
      <c r="K49" s="319"/>
      <c r="L49" s="320"/>
      <c r="M49" s="320"/>
      <c r="N49" s="320"/>
      <c r="O49" s="230"/>
      <c r="P49" s="230"/>
      <c r="Q49" s="230"/>
      <c r="R49" s="230"/>
      <c r="S49" s="230"/>
      <c r="T49" s="230"/>
      <c r="U49" s="319"/>
      <c r="V49" s="324"/>
      <c r="W49" s="319">
        <v>86814</v>
      </c>
      <c r="X49" s="324"/>
      <c r="Y49" s="322"/>
      <c r="Z49" s="324"/>
      <c r="AA49" s="319"/>
      <c r="AB49" s="356" t="s">
        <v>2810</v>
      </c>
      <c r="AC49" s="356" t="s">
        <v>2811</v>
      </c>
      <c r="AD49" s="328" t="s">
        <v>2812</v>
      </c>
      <c r="AE49" s="356"/>
      <c r="AF49" s="356" t="s">
        <v>2813</v>
      </c>
      <c r="AG49" s="356"/>
      <c r="AH49" s="356" t="s">
        <v>2814</v>
      </c>
      <c r="AI49" s="356"/>
      <c r="AJ49" s="356"/>
      <c r="AK49" s="356">
        <v>3814</v>
      </c>
      <c r="AL49" s="322"/>
      <c r="AM49" s="356"/>
      <c r="AN49" s="356">
        <v>59184</v>
      </c>
      <c r="AO49" s="356"/>
      <c r="AP49" s="356" t="s">
        <v>2807</v>
      </c>
      <c r="AQ49" s="356">
        <v>33814</v>
      </c>
      <c r="AR49" s="159">
        <v>31.31</v>
      </c>
      <c r="AS49" s="330">
        <v>0.5</v>
      </c>
      <c r="AT49" s="111">
        <v>0.55000000000000004</v>
      </c>
      <c r="AU49" s="111">
        <v>0.35</v>
      </c>
      <c r="AV49" s="111">
        <v>0.38</v>
      </c>
      <c r="AW49" s="312"/>
      <c r="AX49" s="336" t="s">
        <v>2879</v>
      </c>
      <c r="AY49" s="336" t="s">
        <v>2880</v>
      </c>
      <c r="AZ49" s="348"/>
      <c r="BA49" s="348"/>
      <c r="BB49" s="348"/>
      <c r="BC49" s="358">
        <v>2.41</v>
      </c>
      <c r="BD49" s="358">
        <v>6.5</v>
      </c>
      <c r="BE49" s="340">
        <v>0.32</v>
      </c>
      <c r="BF49" s="353">
        <f>2.87+0.036</f>
        <v>2.9060000000000001</v>
      </c>
      <c r="BG49" s="353">
        <f>2.87+0.036</f>
        <v>2.9060000000000001</v>
      </c>
      <c r="BH49" s="353">
        <f>6.62+0.036+0.036</f>
        <v>6.6919999999999993</v>
      </c>
      <c r="BI49" s="350">
        <f t="shared" si="17"/>
        <v>3.270419126851852E-2</v>
      </c>
      <c r="BJ49" s="340">
        <v>0.08</v>
      </c>
      <c r="BK49" s="349">
        <v>12.25</v>
      </c>
      <c r="BL49" s="349">
        <v>9</v>
      </c>
      <c r="BM49" s="349">
        <f>7.38+0.5</f>
        <v>7.88</v>
      </c>
      <c r="BN49" s="350">
        <f t="shared" si="18"/>
        <v>0.50276041666666671</v>
      </c>
      <c r="BO49" s="354">
        <v>0.51</v>
      </c>
      <c r="BP49" s="354"/>
      <c r="BQ49" s="354"/>
      <c r="BR49" s="323" t="s">
        <v>733</v>
      </c>
      <c r="BS49" s="332">
        <v>12</v>
      </c>
      <c r="BT49" s="332">
        <v>16</v>
      </c>
      <c r="BU49" s="332">
        <v>5</v>
      </c>
      <c r="BV49" s="321">
        <f t="shared" si="19"/>
        <v>960</v>
      </c>
      <c r="BW49" s="351">
        <f t="shared" si="16"/>
        <v>474.80000000000007</v>
      </c>
      <c r="BX49" s="351" t="s">
        <v>743</v>
      </c>
      <c r="BY49" s="342" t="s">
        <v>783</v>
      </c>
      <c r="BZ49" s="331"/>
      <c r="CA49" s="331"/>
      <c r="CB49" s="331"/>
      <c r="CC49" s="331"/>
      <c r="CD49" s="331"/>
    </row>
    <row r="50" spans="1:82" s="316" customFormat="1" x14ac:dyDescent="0.25">
      <c r="A50" s="345">
        <v>42725</v>
      </c>
      <c r="B50" s="333" t="s">
        <v>14</v>
      </c>
      <c r="C50" s="333" t="s">
        <v>2815</v>
      </c>
      <c r="D50" s="333" t="s">
        <v>746</v>
      </c>
      <c r="E50" s="333" t="s">
        <v>2787</v>
      </c>
      <c r="F50" s="211" t="s">
        <v>2816</v>
      </c>
      <c r="G50" s="328" t="s">
        <v>748</v>
      </c>
      <c r="H50" s="344">
        <v>25993215</v>
      </c>
      <c r="I50" s="356"/>
      <c r="J50" s="356"/>
      <c r="K50" s="319"/>
      <c r="L50" s="320"/>
      <c r="M50" s="320"/>
      <c r="N50" s="320"/>
      <c r="O50" s="230"/>
      <c r="P50" s="230"/>
      <c r="Q50" s="230"/>
      <c r="R50" s="230"/>
      <c r="S50" s="230"/>
      <c r="T50" s="230"/>
      <c r="U50" s="319"/>
      <c r="V50" s="324"/>
      <c r="W50" s="319">
        <v>86315</v>
      </c>
      <c r="X50" s="324"/>
      <c r="Y50" s="322"/>
      <c r="Z50" s="324"/>
      <c r="AA50" s="319"/>
      <c r="AB50" s="356"/>
      <c r="AC50" s="356" t="s">
        <v>2817</v>
      </c>
      <c r="AD50" s="328"/>
      <c r="AE50" s="356"/>
      <c r="AF50" s="356"/>
      <c r="AG50" s="356"/>
      <c r="AH50" s="356"/>
      <c r="AI50" s="356"/>
      <c r="AJ50" s="356"/>
      <c r="AK50" s="356">
        <v>3315</v>
      </c>
      <c r="AL50" s="322"/>
      <c r="AM50" s="356"/>
      <c r="AN50" s="356" t="s">
        <v>2818</v>
      </c>
      <c r="AO50" s="356"/>
      <c r="AP50" s="356" t="s">
        <v>2815</v>
      </c>
      <c r="AQ50" s="356">
        <v>33315</v>
      </c>
      <c r="AR50" s="159">
        <v>22.52</v>
      </c>
      <c r="AS50" s="330">
        <v>0.5</v>
      </c>
      <c r="AT50" s="111">
        <v>0.55000000000000004</v>
      </c>
      <c r="AU50" s="111">
        <v>0.35</v>
      </c>
      <c r="AV50" s="111">
        <v>0.38</v>
      </c>
      <c r="AW50" s="312"/>
      <c r="AX50" s="336" t="s">
        <v>2881</v>
      </c>
      <c r="AY50" s="336" t="s">
        <v>2882</v>
      </c>
      <c r="AZ50" s="348"/>
      <c r="BA50" s="348"/>
      <c r="BB50" s="348"/>
      <c r="BC50" s="358">
        <v>2.19</v>
      </c>
      <c r="BD50" s="358">
        <v>6.14</v>
      </c>
      <c r="BE50" s="340">
        <v>0.35</v>
      </c>
      <c r="BF50" s="353">
        <f>2.37+0.036</f>
        <v>2.4060000000000001</v>
      </c>
      <c r="BG50" s="353">
        <f>2.37+0.036</f>
        <v>2.4060000000000001</v>
      </c>
      <c r="BH50" s="353">
        <f>6.8+0.036+0.036</f>
        <v>6.871999999999999</v>
      </c>
      <c r="BI50" s="350">
        <f t="shared" si="17"/>
        <v>2.3021343166666666E-2</v>
      </c>
      <c r="BJ50" s="340">
        <v>0.06</v>
      </c>
      <c r="BK50" s="349">
        <v>10.25</v>
      </c>
      <c r="BL50" s="349">
        <v>7.75</v>
      </c>
      <c r="BM50" s="349">
        <f>6.62+0.5</f>
        <v>7.12</v>
      </c>
      <c r="BN50" s="350">
        <f t="shared" si="18"/>
        <v>0.32731192129629633</v>
      </c>
      <c r="BO50" s="341">
        <v>0.4</v>
      </c>
      <c r="BP50" s="341"/>
      <c r="BQ50" s="341"/>
      <c r="BR50" s="323" t="s">
        <v>733</v>
      </c>
      <c r="BS50" s="332">
        <v>12</v>
      </c>
      <c r="BT50" s="332">
        <v>22</v>
      </c>
      <c r="BU50" s="332">
        <v>6</v>
      </c>
      <c r="BV50" s="321">
        <f t="shared" si="19"/>
        <v>1584</v>
      </c>
      <c r="BW50" s="351">
        <f t="shared" si="16"/>
        <v>752.24</v>
      </c>
      <c r="BX50" s="351" t="s">
        <v>743</v>
      </c>
      <c r="BY50" s="342" t="s">
        <v>783</v>
      </c>
      <c r="BZ50" s="331"/>
      <c r="CA50" s="331"/>
      <c r="CB50" s="331"/>
      <c r="CC50" s="331"/>
      <c r="CD50" s="331"/>
    </row>
    <row r="51" spans="1:82" s="316" customFormat="1" x14ac:dyDescent="0.25">
      <c r="A51" s="345">
        <v>42725</v>
      </c>
      <c r="B51" s="333" t="s">
        <v>14</v>
      </c>
      <c r="C51" s="333" t="s">
        <v>2819</v>
      </c>
      <c r="D51" s="333" t="s">
        <v>746</v>
      </c>
      <c r="E51" s="333" t="s">
        <v>934</v>
      </c>
      <c r="F51" s="357" t="s">
        <v>2820</v>
      </c>
      <c r="G51" s="328" t="s">
        <v>769</v>
      </c>
      <c r="H51" s="344">
        <v>13717582908</v>
      </c>
      <c r="I51" s="356"/>
      <c r="J51" s="356"/>
      <c r="K51" s="319"/>
      <c r="L51" s="320"/>
      <c r="M51" s="320"/>
      <c r="N51" s="320"/>
      <c r="O51" s="230"/>
      <c r="P51" s="230"/>
      <c r="Q51" s="230"/>
      <c r="R51" s="230"/>
      <c r="S51" s="230"/>
      <c r="T51" s="230"/>
      <c r="U51" s="319"/>
      <c r="V51" s="324"/>
      <c r="W51" s="319">
        <v>83208</v>
      </c>
      <c r="X51" s="324"/>
      <c r="Y51" s="322"/>
      <c r="Z51" s="324"/>
      <c r="AA51" s="319"/>
      <c r="AB51" s="356" t="s">
        <v>2821</v>
      </c>
      <c r="AC51" s="356" t="s">
        <v>2822</v>
      </c>
      <c r="AD51" s="328" t="s">
        <v>2823</v>
      </c>
      <c r="AE51" s="356" t="s">
        <v>2824</v>
      </c>
      <c r="AF51" s="356" t="s">
        <v>2825</v>
      </c>
      <c r="AG51" s="356"/>
      <c r="AH51" s="356" t="s">
        <v>2826</v>
      </c>
      <c r="AI51" s="356"/>
      <c r="AJ51" s="356"/>
      <c r="AK51" s="356">
        <v>9208</v>
      </c>
      <c r="AL51" s="322" t="s">
        <v>2827</v>
      </c>
      <c r="AM51" s="356" t="s">
        <v>2828</v>
      </c>
      <c r="AN51" s="356"/>
      <c r="AO51" s="356"/>
      <c r="AP51" s="356"/>
      <c r="AQ51" s="356">
        <v>49208</v>
      </c>
      <c r="AR51" s="159">
        <v>29.56</v>
      </c>
      <c r="AS51" s="330">
        <v>0.5</v>
      </c>
      <c r="AT51" s="111">
        <v>0.55000000000000004</v>
      </c>
      <c r="AU51" s="111">
        <v>0.35</v>
      </c>
      <c r="AV51" s="111">
        <v>0.38</v>
      </c>
      <c r="AW51" s="312"/>
      <c r="AX51" s="336" t="s">
        <v>2883</v>
      </c>
      <c r="AY51" s="336" t="s">
        <v>2884</v>
      </c>
      <c r="AZ51" s="335">
        <v>10.63</v>
      </c>
      <c r="BA51" s="335">
        <v>9.92</v>
      </c>
      <c r="BB51" s="335">
        <v>2.0099999999999998</v>
      </c>
      <c r="BC51" s="327"/>
      <c r="BD51" s="327"/>
      <c r="BE51" s="340">
        <v>0.62</v>
      </c>
      <c r="BF51" s="353">
        <f>10.68+0.036</f>
        <v>10.715999999999999</v>
      </c>
      <c r="BG51" s="353">
        <f>2.43+0.036</f>
        <v>2.4660000000000002</v>
      </c>
      <c r="BH51" s="350">
        <f>10.68+0.036+0.036</f>
        <v>10.751999999999999</v>
      </c>
      <c r="BI51" s="350">
        <f t="shared" si="17"/>
        <v>0.164426304</v>
      </c>
      <c r="BJ51" s="340">
        <v>0.24</v>
      </c>
      <c r="BK51" s="349">
        <v>11.25</v>
      </c>
      <c r="BL51" s="349">
        <v>8</v>
      </c>
      <c r="BM51" s="349">
        <v>11.5</v>
      </c>
      <c r="BN51" s="350">
        <f t="shared" si="18"/>
        <v>0.59895833333333337</v>
      </c>
      <c r="BO51" s="354">
        <v>0.53</v>
      </c>
      <c r="BP51" s="354"/>
      <c r="BQ51" s="354"/>
      <c r="BR51" s="323" t="s">
        <v>733</v>
      </c>
      <c r="BS51" s="332">
        <v>3</v>
      </c>
      <c r="BT51" s="332">
        <v>20</v>
      </c>
      <c r="BU51" s="332">
        <v>3</v>
      </c>
      <c r="BV51" s="321">
        <f t="shared" si="19"/>
        <v>180</v>
      </c>
      <c r="BW51" s="351">
        <f t="shared" si="16"/>
        <v>236.60000000000002</v>
      </c>
      <c r="BX51" s="321" t="s">
        <v>743</v>
      </c>
      <c r="BY51" s="342" t="s">
        <v>735</v>
      </c>
      <c r="BZ51" s="331"/>
      <c r="CA51" s="331"/>
      <c r="CB51" s="331"/>
      <c r="CC51" s="331"/>
      <c r="CD51" s="331"/>
    </row>
    <row r="52" spans="1:82" s="316" customFormat="1" x14ac:dyDescent="0.25">
      <c r="A52" s="345">
        <v>42725</v>
      </c>
      <c r="B52" s="333" t="s">
        <v>14</v>
      </c>
      <c r="C52" s="333" t="s">
        <v>2829</v>
      </c>
      <c r="D52" s="333" t="s">
        <v>746</v>
      </c>
      <c r="E52" s="333" t="s">
        <v>934</v>
      </c>
      <c r="F52" s="357" t="s">
        <v>2830</v>
      </c>
      <c r="G52" s="328" t="s">
        <v>967</v>
      </c>
      <c r="H52" s="344" t="s">
        <v>2831</v>
      </c>
      <c r="I52" s="356"/>
      <c r="J52" s="356"/>
      <c r="K52" s="319"/>
      <c r="L52" s="320"/>
      <c r="M52" s="320"/>
      <c r="N52" s="320"/>
      <c r="O52" s="230"/>
      <c r="P52" s="230"/>
      <c r="Q52" s="230"/>
      <c r="R52" s="230"/>
      <c r="S52" s="230"/>
      <c r="T52" s="230"/>
      <c r="U52" s="319" t="s">
        <v>2832</v>
      </c>
      <c r="V52" s="324"/>
      <c r="W52" s="319"/>
      <c r="X52" s="324"/>
      <c r="Y52" s="322"/>
      <c r="Z52" s="324"/>
      <c r="AA52" s="319"/>
      <c r="AB52" s="356"/>
      <c r="AC52" s="356" t="s">
        <v>2833</v>
      </c>
      <c r="AD52" s="328"/>
      <c r="AE52" s="356" t="s">
        <v>2834</v>
      </c>
      <c r="AF52" s="356"/>
      <c r="AG52" s="356"/>
      <c r="AH52" s="356"/>
      <c r="AI52" s="356"/>
      <c r="AJ52" s="356"/>
      <c r="AK52" s="356">
        <v>200196</v>
      </c>
      <c r="AL52" s="322"/>
      <c r="AM52" s="356"/>
      <c r="AN52" s="356" t="s">
        <v>2835</v>
      </c>
      <c r="AO52" s="356"/>
      <c r="AP52" s="356" t="s">
        <v>2835</v>
      </c>
      <c r="AQ52" s="356" t="s">
        <v>2836</v>
      </c>
      <c r="AR52" s="159">
        <v>24.97</v>
      </c>
      <c r="AS52" s="330">
        <v>0.5</v>
      </c>
      <c r="AT52" s="111">
        <v>0.55000000000000004</v>
      </c>
      <c r="AU52" s="111">
        <v>0.35</v>
      </c>
      <c r="AV52" s="111">
        <v>0.38</v>
      </c>
      <c r="AW52" s="312"/>
      <c r="AX52" s="336" t="s">
        <v>2885</v>
      </c>
      <c r="AY52" s="336" t="s">
        <v>2886</v>
      </c>
      <c r="AZ52" s="335">
        <v>10.47</v>
      </c>
      <c r="BA52" s="335">
        <v>7.23</v>
      </c>
      <c r="BB52" s="335">
        <v>1.91</v>
      </c>
      <c r="BC52" s="327"/>
      <c r="BD52" s="327"/>
      <c r="BE52" s="340">
        <v>0.5</v>
      </c>
      <c r="BF52" s="353">
        <f>7.48+0.036</f>
        <v>7.516</v>
      </c>
      <c r="BG52" s="353">
        <f>2.16+0.036</f>
        <v>2.1960000000000002</v>
      </c>
      <c r="BH52" s="353">
        <f>10.71+0.036+0.036</f>
        <v>10.782</v>
      </c>
      <c r="BI52" s="350">
        <f t="shared" si="17"/>
        <v>0.10298517150000001</v>
      </c>
      <c r="BJ52" s="340">
        <v>0.05</v>
      </c>
      <c r="BK52" s="349">
        <f>13.38+0.25</f>
        <v>13.63</v>
      </c>
      <c r="BL52" s="349">
        <f>10.94+0.25</f>
        <v>11.19</v>
      </c>
      <c r="BM52" s="349">
        <f>7.95+0.5</f>
        <v>8.4499999999999993</v>
      </c>
      <c r="BN52" s="350">
        <f t="shared" si="18"/>
        <v>0.74582839409722212</v>
      </c>
      <c r="BO52" s="341">
        <v>0.15</v>
      </c>
      <c r="BP52" s="341"/>
      <c r="BQ52" s="341"/>
      <c r="BR52" s="323" t="s">
        <v>733</v>
      </c>
      <c r="BS52" s="332">
        <v>6</v>
      </c>
      <c r="BT52" s="332">
        <v>11</v>
      </c>
      <c r="BU52" s="332">
        <v>5</v>
      </c>
      <c r="BV52" s="321">
        <f t="shared" si="19"/>
        <v>330</v>
      </c>
      <c r="BW52" s="351">
        <f t="shared" si="16"/>
        <v>239.75</v>
      </c>
      <c r="BX52" s="321" t="s">
        <v>734</v>
      </c>
      <c r="BY52" s="342" t="s">
        <v>735</v>
      </c>
      <c r="BZ52" s="331"/>
      <c r="CA52" s="331"/>
      <c r="CB52" s="331"/>
      <c r="CC52" s="331"/>
      <c r="CD52" s="331"/>
    </row>
    <row r="53" spans="1:82" s="316" customFormat="1" x14ac:dyDescent="0.25">
      <c r="A53" s="345">
        <v>42725</v>
      </c>
      <c r="B53" s="333" t="s">
        <v>14</v>
      </c>
      <c r="C53" s="333" t="s">
        <v>2837</v>
      </c>
      <c r="D53" s="333" t="s">
        <v>746</v>
      </c>
      <c r="E53" s="333" t="s">
        <v>934</v>
      </c>
      <c r="F53" s="211" t="s">
        <v>2838</v>
      </c>
      <c r="G53" s="328" t="s">
        <v>967</v>
      </c>
      <c r="H53" s="344" t="s">
        <v>2839</v>
      </c>
      <c r="I53" s="356"/>
      <c r="J53" s="356"/>
      <c r="K53" s="319"/>
      <c r="L53" s="320"/>
      <c r="M53" s="320"/>
      <c r="N53" s="320"/>
      <c r="O53" s="230"/>
      <c r="P53" s="230"/>
      <c r="Q53" s="230"/>
      <c r="R53" s="230"/>
      <c r="S53" s="230"/>
      <c r="T53" s="230"/>
      <c r="U53" s="319" t="s">
        <v>2840</v>
      </c>
      <c r="V53" s="324"/>
      <c r="W53" s="319"/>
      <c r="X53" s="324"/>
      <c r="Y53" s="322"/>
      <c r="Z53" s="324"/>
      <c r="AA53" s="319"/>
      <c r="AB53" s="356"/>
      <c r="AC53" s="356" t="s">
        <v>2841</v>
      </c>
      <c r="AD53" s="328"/>
      <c r="AE53" s="356"/>
      <c r="AF53" s="356"/>
      <c r="AG53" s="356"/>
      <c r="AH53" s="356"/>
      <c r="AI53" s="356"/>
      <c r="AJ53" s="356"/>
      <c r="AK53" s="356">
        <v>200296</v>
      </c>
      <c r="AL53" s="322"/>
      <c r="AM53" s="356" t="s">
        <v>2842</v>
      </c>
      <c r="AN53" s="356" t="s">
        <v>2843</v>
      </c>
      <c r="AO53" s="356"/>
      <c r="AP53" s="356" t="s">
        <v>2843</v>
      </c>
      <c r="AQ53" s="356" t="s">
        <v>2844</v>
      </c>
      <c r="AR53" s="159">
        <v>15.37</v>
      </c>
      <c r="AS53" s="330"/>
      <c r="AT53" s="111"/>
      <c r="AU53" s="111"/>
      <c r="AV53" s="111"/>
      <c r="AW53" s="312"/>
      <c r="AX53" s="336" t="s">
        <v>2887</v>
      </c>
      <c r="AY53" s="336" t="s">
        <v>2888</v>
      </c>
      <c r="AZ53" s="335">
        <v>11.65</v>
      </c>
      <c r="BA53" s="335">
        <v>7.09</v>
      </c>
      <c r="BB53" s="335">
        <v>1.89</v>
      </c>
      <c r="BC53" s="327"/>
      <c r="BD53" s="327"/>
      <c r="BE53" s="340">
        <v>0.55000000000000004</v>
      </c>
      <c r="BF53" s="353">
        <f>7.36+0.036</f>
        <v>7.3959999999999999</v>
      </c>
      <c r="BG53" s="353">
        <f>2.32+0.036</f>
        <v>2.3559999999999999</v>
      </c>
      <c r="BH53" s="353">
        <f>12.24+0.072</f>
        <v>12.311999999999999</v>
      </c>
      <c r="BI53" s="350">
        <f t="shared" si="17"/>
        <v>0.124152954</v>
      </c>
      <c r="BJ53" s="340">
        <v>0.05</v>
      </c>
      <c r="BK53" s="349">
        <f>14.33+0.25</f>
        <v>14.58</v>
      </c>
      <c r="BL53" s="349">
        <f>12.48+0.25</f>
        <v>12.73</v>
      </c>
      <c r="BM53" s="349">
        <f>7.83+0.5</f>
        <v>8.33</v>
      </c>
      <c r="BN53" s="350">
        <f t="shared" si="18"/>
        <v>0.89472009375000006</v>
      </c>
      <c r="BO53" s="341">
        <v>0.15</v>
      </c>
      <c r="BP53" s="341"/>
      <c r="BQ53" s="341"/>
      <c r="BR53" s="323" t="s">
        <v>733</v>
      </c>
      <c r="BS53" s="332">
        <v>6</v>
      </c>
      <c r="BT53" s="332">
        <v>9</v>
      </c>
      <c r="BU53" s="332">
        <v>5</v>
      </c>
      <c r="BV53" s="321">
        <f t="shared" si="19"/>
        <v>270</v>
      </c>
      <c r="BW53" s="351">
        <f t="shared" si="16"/>
        <v>218.75000000000003</v>
      </c>
      <c r="BX53" s="321" t="s">
        <v>734</v>
      </c>
      <c r="BY53" s="342" t="s">
        <v>735</v>
      </c>
      <c r="BZ53" s="331"/>
      <c r="CA53" s="331"/>
      <c r="CB53" s="331"/>
      <c r="CC53" s="331"/>
      <c r="CD53" s="331"/>
    </row>
    <row r="54" spans="1:82" s="316" customFormat="1" x14ac:dyDescent="0.25">
      <c r="A54" s="345">
        <v>42725</v>
      </c>
      <c r="B54" s="333" t="s">
        <v>14</v>
      </c>
      <c r="C54" s="333" t="s">
        <v>2845</v>
      </c>
      <c r="D54" s="333" t="s">
        <v>746</v>
      </c>
      <c r="E54" s="333" t="s">
        <v>934</v>
      </c>
      <c r="F54" s="211" t="s">
        <v>2846</v>
      </c>
      <c r="G54" s="328" t="s">
        <v>1029</v>
      </c>
      <c r="H54" s="344" t="s">
        <v>2847</v>
      </c>
      <c r="I54" s="356"/>
      <c r="J54" s="356"/>
      <c r="K54" s="319"/>
      <c r="L54" s="320"/>
      <c r="M54" s="320"/>
      <c r="N54" s="320"/>
      <c r="O54" s="230"/>
      <c r="P54" s="230"/>
      <c r="Q54" s="230"/>
      <c r="R54" s="230"/>
      <c r="S54" s="230"/>
      <c r="T54" s="230"/>
      <c r="U54" s="319"/>
      <c r="V54" s="324"/>
      <c r="W54" s="319">
        <v>93085</v>
      </c>
      <c r="X54" s="324"/>
      <c r="Y54" s="322"/>
      <c r="Z54" s="324"/>
      <c r="AA54" s="319"/>
      <c r="AB54" s="356"/>
      <c r="AC54" s="356"/>
      <c r="AD54" s="328"/>
      <c r="AE54" s="356" t="s">
        <v>2848</v>
      </c>
      <c r="AF54" s="356"/>
      <c r="AG54" s="356"/>
      <c r="AH54" s="356"/>
      <c r="AI54" s="356"/>
      <c r="AJ54" s="356"/>
      <c r="AK54" s="356">
        <v>200085</v>
      </c>
      <c r="AL54" s="322" t="s">
        <v>2849</v>
      </c>
      <c r="AM54" s="356"/>
      <c r="AN54" s="356" t="s">
        <v>2850</v>
      </c>
      <c r="AO54" s="356"/>
      <c r="AP54" s="356" t="s">
        <v>2850</v>
      </c>
      <c r="AQ54" s="356" t="s">
        <v>2851</v>
      </c>
      <c r="AR54" s="159">
        <v>23.84</v>
      </c>
      <c r="AS54" s="330"/>
      <c r="AT54" s="111"/>
      <c r="AU54" s="111"/>
      <c r="AV54" s="111"/>
      <c r="AW54" s="312"/>
      <c r="AX54" s="336" t="s">
        <v>2889</v>
      </c>
      <c r="AY54" s="336" t="s">
        <v>2890</v>
      </c>
      <c r="AZ54" s="335">
        <v>10.24</v>
      </c>
      <c r="BA54" s="335">
        <v>11.75</v>
      </c>
      <c r="BB54" s="335">
        <v>2.2999999999999998</v>
      </c>
      <c r="BC54" s="327"/>
      <c r="BD54" s="327"/>
      <c r="BE54" s="340">
        <v>0.95</v>
      </c>
      <c r="BF54" s="353">
        <f>11.02+0.036</f>
        <v>11.055999999999999</v>
      </c>
      <c r="BG54" s="353">
        <f>2.76+0.036</f>
        <v>2.7959999999999998</v>
      </c>
      <c r="BH54" s="353">
        <f>12.076</f>
        <v>12.076000000000001</v>
      </c>
      <c r="BI54" s="350">
        <f t="shared" si="17"/>
        <v>0.21603024755555555</v>
      </c>
      <c r="BJ54" s="340">
        <v>0.05</v>
      </c>
      <c r="BK54" s="349">
        <f>16.93+0.25</f>
        <v>17.18</v>
      </c>
      <c r="BL54" s="349">
        <f>12.24+0.25</f>
        <v>12.49</v>
      </c>
      <c r="BM54" s="349">
        <v>12</v>
      </c>
      <c r="BN54" s="350">
        <f t="shared" si="18"/>
        <v>1.4901263888888889</v>
      </c>
      <c r="BO54" s="341">
        <v>0.15</v>
      </c>
      <c r="BP54" s="341"/>
      <c r="BQ54" s="341"/>
      <c r="BR54" s="323" t="s">
        <v>733</v>
      </c>
      <c r="BS54" s="332">
        <v>6</v>
      </c>
      <c r="BT54" s="332">
        <v>7</v>
      </c>
      <c r="BU54" s="332">
        <v>3</v>
      </c>
      <c r="BV54" s="321">
        <f t="shared" si="19"/>
        <v>126</v>
      </c>
      <c r="BW54" s="351">
        <f t="shared" si="16"/>
        <v>179.15</v>
      </c>
      <c r="BX54" s="321" t="s">
        <v>734</v>
      </c>
      <c r="BY54" s="342" t="s">
        <v>735</v>
      </c>
      <c r="BZ54" s="331"/>
      <c r="CA54" s="331"/>
      <c r="CB54" s="331"/>
      <c r="CC54" s="331"/>
      <c r="CD54" s="331"/>
    </row>
    <row r="55" spans="1:82" s="316" customFormat="1" x14ac:dyDescent="0.25">
      <c r="A55" s="345">
        <v>42725</v>
      </c>
      <c r="B55" s="333" t="s">
        <v>14</v>
      </c>
      <c r="C55" s="333" t="s">
        <v>2852</v>
      </c>
      <c r="D55" s="333" t="s">
        <v>746</v>
      </c>
      <c r="E55" s="333" t="s">
        <v>2853</v>
      </c>
      <c r="F55" s="211" t="s">
        <v>2854</v>
      </c>
      <c r="G55" s="328" t="s">
        <v>967</v>
      </c>
      <c r="H55" s="344" t="s">
        <v>2855</v>
      </c>
      <c r="I55" s="356"/>
      <c r="J55" s="356"/>
      <c r="K55" s="319"/>
      <c r="L55" s="320"/>
      <c r="M55" s="320"/>
      <c r="N55" s="320"/>
      <c r="O55" s="230"/>
      <c r="P55" s="230"/>
      <c r="Q55" s="230"/>
      <c r="R55" s="230"/>
      <c r="S55" s="230"/>
      <c r="T55" s="230"/>
      <c r="U55" s="319"/>
      <c r="V55" s="324"/>
      <c r="W55" s="319"/>
      <c r="X55" s="324"/>
      <c r="Y55" s="322"/>
      <c r="Z55" s="324"/>
      <c r="AA55" s="319"/>
      <c r="AB55" s="356"/>
      <c r="AC55" s="356"/>
      <c r="AD55" s="328"/>
      <c r="AE55" s="356"/>
      <c r="AF55" s="356"/>
      <c r="AG55" s="356"/>
      <c r="AH55" s="356"/>
      <c r="AI55" s="356"/>
      <c r="AJ55" s="356"/>
      <c r="AK55" s="356"/>
      <c r="AL55" s="322"/>
      <c r="AM55" s="356"/>
      <c r="AN55" s="356">
        <v>56086</v>
      </c>
      <c r="AO55" s="356"/>
      <c r="AP55" s="356">
        <v>56086</v>
      </c>
      <c r="AQ55" s="356"/>
      <c r="AR55" s="159">
        <v>34.85</v>
      </c>
      <c r="AS55" s="330">
        <v>0.5</v>
      </c>
      <c r="AT55" s="111">
        <v>0.55000000000000004</v>
      </c>
      <c r="AU55" s="111">
        <v>0.35</v>
      </c>
      <c r="AV55" s="111">
        <v>0.38</v>
      </c>
      <c r="AW55" s="312"/>
      <c r="AX55" s="336" t="s">
        <v>2891</v>
      </c>
      <c r="AY55" s="336" t="s">
        <v>2892</v>
      </c>
      <c r="AZ55" s="348"/>
      <c r="BA55" s="348"/>
      <c r="BB55" s="348"/>
      <c r="BC55" s="355">
        <v>2.91</v>
      </c>
      <c r="BD55" s="355">
        <v>5.35</v>
      </c>
      <c r="BE55" s="340">
        <v>0.25</v>
      </c>
      <c r="BF55" s="353">
        <f>3.15+0.036</f>
        <v>3.1859999999999999</v>
      </c>
      <c r="BG55" s="353">
        <f>3.15+0.036</f>
        <v>3.1859999999999999</v>
      </c>
      <c r="BH55" s="353">
        <v>6.0720000000000001</v>
      </c>
      <c r="BI55" s="350">
        <f t="shared" si="17"/>
        <v>3.5668066499999998E-2</v>
      </c>
      <c r="BJ55" s="340">
        <v>7.0000000000000007E-2</v>
      </c>
      <c r="BK55" s="349">
        <v>13.25</v>
      </c>
      <c r="BL55" s="349">
        <v>10</v>
      </c>
      <c r="BM55" s="349">
        <v>6.62</v>
      </c>
      <c r="BN55" s="349">
        <f t="shared" si="18"/>
        <v>0.50760995370370376</v>
      </c>
      <c r="BO55" s="341">
        <v>0.59</v>
      </c>
      <c r="BP55" s="341"/>
      <c r="BQ55" s="341"/>
      <c r="BR55" s="323" t="s">
        <v>733</v>
      </c>
      <c r="BS55" s="332">
        <v>12</v>
      </c>
      <c r="BT55" s="332">
        <v>14</v>
      </c>
      <c r="BU55" s="332">
        <v>6</v>
      </c>
      <c r="BV55" s="321">
        <f t="shared" si="19"/>
        <v>1008</v>
      </c>
      <c r="BW55" s="351">
        <f t="shared" si="16"/>
        <v>422.12</v>
      </c>
      <c r="BX55" s="321" t="s">
        <v>2876</v>
      </c>
      <c r="BY55" s="342" t="s">
        <v>783</v>
      </c>
      <c r="BZ55" s="331"/>
      <c r="CA55" s="331"/>
      <c r="CB55" s="326"/>
      <c r="CC55" s="331"/>
    </row>
    <row r="56" spans="1:82" s="316" customFormat="1" ht="30" x14ac:dyDescent="0.25">
      <c r="A56" s="345">
        <v>42629</v>
      </c>
      <c r="B56" s="338" t="s">
        <v>14</v>
      </c>
      <c r="C56" s="338" t="s">
        <v>2633</v>
      </c>
      <c r="D56" s="338" t="s">
        <v>60</v>
      </c>
      <c r="E56" s="338" t="s">
        <v>65</v>
      </c>
      <c r="F56" s="343" t="s">
        <v>2634</v>
      </c>
      <c r="G56" s="328" t="s">
        <v>1339</v>
      </c>
      <c r="H56" s="328" t="s">
        <v>2635</v>
      </c>
      <c r="I56" s="328"/>
      <c r="J56" s="347"/>
      <c r="K56" s="319"/>
      <c r="L56" s="320"/>
      <c r="M56" s="320"/>
      <c r="N56" s="320"/>
      <c r="O56" s="325"/>
      <c r="P56" s="325"/>
      <c r="Q56" s="325"/>
      <c r="R56" s="325"/>
      <c r="S56" s="325"/>
      <c r="T56" s="325"/>
      <c r="U56" s="319"/>
      <c r="V56" s="324"/>
      <c r="W56" s="319"/>
      <c r="X56" s="324"/>
      <c r="Y56" s="322"/>
      <c r="Z56" s="324"/>
      <c r="AA56" s="319"/>
      <c r="AB56" s="337"/>
      <c r="AC56" s="347"/>
      <c r="AD56" s="328"/>
      <c r="AE56" s="347"/>
      <c r="AF56" s="347"/>
      <c r="AG56" s="347"/>
      <c r="AH56" s="347"/>
      <c r="AI56" s="347"/>
      <c r="AJ56" s="347"/>
      <c r="AK56" s="347"/>
      <c r="AL56" s="322"/>
      <c r="AM56" s="347"/>
      <c r="AN56" s="347"/>
      <c r="AO56" s="347"/>
      <c r="AP56" s="347"/>
      <c r="AQ56" s="337"/>
      <c r="AR56" s="159">
        <v>136.38</v>
      </c>
      <c r="AS56" s="330">
        <v>0.5</v>
      </c>
      <c r="AT56" s="111">
        <v>0.55000000000000004</v>
      </c>
      <c r="AU56" s="111">
        <v>0.35</v>
      </c>
      <c r="AV56" s="111">
        <v>0.38</v>
      </c>
      <c r="AW56" s="302"/>
      <c r="AX56" s="336" t="s">
        <v>2697</v>
      </c>
      <c r="AY56" s="336" t="s">
        <v>2698</v>
      </c>
      <c r="AZ56" s="327"/>
      <c r="BA56" s="327"/>
      <c r="BB56" s="327"/>
      <c r="BC56" s="340">
        <v>3.93</v>
      </c>
      <c r="BD56" s="340">
        <v>11</v>
      </c>
      <c r="BE56" s="340">
        <v>2.2000000000000002</v>
      </c>
      <c r="BF56" s="460" t="s">
        <v>2699</v>
      </c>
      <c r="BG56" s="461"/>
      <c r="BH56" s="461"/>
      <c r="BI56" s="461"/>
      <c r="BJ56" s="462"/>
      <c r="BK56" s="349">
        <v>18</v>
      </c>
      <c r="BL56" s="349">
        <v>13.75</v>
      </c>
      <c r="BM56" s="349">
        <v>14</v>
      </c>
      <c r="BN56" s="350">
        <f>(BK56/12)*(BL56/12)*(BM56/12)</f>
        <v>2.0052083333333335</v>
      </c>
      <c r="BO56" s="341">
        <v>1.1000000000000001</v>
      </c>
      <c r="BP56" s="341"/>
      <c r="BQ56" s="341"/>
      <c r="BR56" s="323" t="s">
        <v>733</v>
      </c>
      <c r="BS56" s="332">
        <v>12</v>
      </c>
      <c r="BT56" s="332">
        <v>6</v>
      </c>
      <c r="BU56" s="332">
        <v>3</v>
      </c>
      <c r="BV56" s="321">
        <f t="shared" ref="BV56:BV67" si="23">BS56*BT56*BU56</f>
        <v>216</v>
      </c>
      <c r="BW56" s="351">
        <f>(BV56*BO56*BE56)+150</f>
        <v>672.72000000000014</v>
      </c>
      <c r="BX56" s="321" t="s">
        <v>1062</v>
      </c>
      <c r="BY56" s="342" t="s">
        <v>783</v>
      </c>
      <c r="BZ56" s="331"/>
      <c r="CA56" s="331"/>
      <c r="CB56" s="331"/>
    </row>
    <row r="57" spans="1:82" s="316" customFormat="1" x14ac:dyDescent="0.25">
      <c r="A57" s="345">
        <v>42629</v>
      </c>
      <c r="B57" s="338" t="s">
        <v>14</v>
      </c>
      <c r="C57" s="332" t="s">
        <v>2636</v>
      </c>
      <c r="D57" s="333" t="s">
        <v>746</v>
      </c>
      <c r="E57" s="333" t="s">
        <v>697</v>
      </c>
      <c r="F57" s="329" t="s">
        <v>2637</v>
      </c>
      <c r="G57" s="329" t="s">
        <v>869</v>
      </c>
      <c r="H57" s="328" t="s">
        <v>2638</v>
      </c>
      <c r="I57" s="347"/>
      <c r="J57" s="347"/>
      <c r="K57" s="319"/>
      <c r="L57" s="320"/>
      <c r="M57" s="320"/>
      <c r="N57" s="320"/>
      <c r="O57" s="325"/>
      <c r="P57" s="325"/>
      <c r="Q57" s="325"/>
      <c r="R57" s="325"/>
      <c r="S57" s="325"/>
      <c r="T57" s="325"/>
      <c r="U57" s="319"/>
      <c r="V57" s="324"/>
      <c r="W57" s="319">
        <v>93050</v>
      </c>
      <c r="X57" s="324"/>
      <c r="Y57" s="322"/>
      <c r="Z57" s="324"/>
      <c r="AA57" s="319"/>
      <c r="AB57" s="337" t="s">
        <v>2639</v>
      </c>
      <c r="AC57" s="347" t="s">
        <v>2640</v>
      </c>
      <c r="AD57" s="328"/>
      <c r="AE57" s="347" t="s">
        <v>2641</v>
      </c>
      <c r="AF57" s="347"/>
      <c r="AG57" s="347"/>
      <c r="AH57" s="347"/>
      <c r="AI57" s="347"/>
      <c r="AJ57" s="337"/>
      <c r="AK57" s="347"/>
      <c r="AL57" s="337" t="s">
        <v>2642</v>
      </c>
      <c r="AM57" s="347"/>
      <c r="AN57" s="347" t="s">
        <v>2643</v>
      </c>
      <c r="AO57" s="347"/>
      <c r="AP57" s="347" t="s">
        <v>2644</v>
      </c>
      <c r="AQ57" s="337" t="s">
        <v>2645</v>
      </c>
      <c r="AR57" s="159">
        <v>20.64</v>
      </c>
      <c r="AS57" s="330"/>
      <c r="AT57" s="111"/>
      <c r="AU57" s="111"/>
      <c r="AV57" s="111"/>
      <c r="AW57" s="312"/>
      <c r="AX57" s="336" t="s">
        <v>2700</v>
      </c>
      <c r="AY57" s="336" t="s">
        <v>2701</v>
      </c>
      <c r="AZ57" s="335">
        <v>11.53</v>
      </c>
      <c r="BA57" s="335">
        <v>6.89</v>
      </c>
      <c r="BB57" s="335">
        <v>1.73</v>
      </c>
      <c r="BC57" s="327"/>
      <c r="BD57" s="327"/>
      <c r="BE57" s="340">
        <v>0.69</v>
      </c>
      <c r="BF57" s="353">
        <v>7.0359999999999996</v>
      </c>
      <c r="BG57" s="353">
        <v>2.536</v>
      </c>
      <c r="BH57" s="350">
        <f>11.75+0.036+0.036</f>
        <v>11.821999999999999</v>
      </c>
      <c r="BI57" s="350">
        <f t="shared" ref="BI57:BI67" si="24">(BH57*BG57*BF57)/1728</f>
        <v>0.12207375307407406</v>
      </c>
      <c r="BJ57" s="340">
        <v>0.19</v>
      </c>
      <c r="BK57" s="349">
        <v>12.25</v>
      </c>
      <c r="BL57" s="349">
        <v>7.5</v>
      </c>
      <c r="BM57" s="349">
        <v>8.5</v>
      </c>
      <c r="BN57" s="350">
        <f t="shared" ref="BN57:BN67" si="25">(BM57*BL57*BK57)/1728</f>
        <v>0.4519314236111111</v>
      </c>
      <c r="BO57" s="354">
        <v>0.44</v>
      </c>
      <c r="BP57" s="354"/>
      <c r="BQ57" s="354"/>
      <c r="BR57" s="323" t="s">
        <v>733</v>
      </c>
      <c r="BS57" s="332">
        <v>3</v>
      </c>
      <c r="BT57" s="332">
        <v>20</v>
      </c>
      <c r="BU57" s="332">
        <v>5</v>
      </c>
      <c r="BV57" s="321">
        <f t="shared" si="23"/>
        <v>300</v>
      </c>
      <c r="BW57" s="351">
        <f>((((BE57+BJ57)*BS57)+BO57)*BT57*BU57)+50</f>
        <v>358</v>
      </c>
      <c r="BX57" s="321" t="s">
        <v>743</v>
      </c>
      <c r="BY57" s="342" t="s">
        <v>735</v>
      </c>
      <c r="BZ57" s="331"/>
      <c r="CA57" s="331"/>
      <c r="CB57" s="331"/>
      <c r="CC57" s="331"/>
      <c r="CD57" s="331"/>
    </row>
    <row r="58" spans="1:82" s="316" customFormat="1" x14ac:dyDescent="0.25">
      <c r="A58" s="345">
        <v>42629</v>
      </c>
      <c r="B58" s="338" t="s">
        <v>14</v>
      </c>
      <c r="C58" s="332" t="s">
        <v>2646</v>
      </c>
      <c r="D58" s="333" t="s">
        <v>746</v>
      </c>
      <c r="E58" s="333" t="s">
        <v>934</v>
      </c>
      <c r="F58" s="329" t="s">
        <v>2647</v>
      </c>
      <c r="G58" s="329" t="s">
        <v>1120</v>
      </c>
      <c r="H58" s="328">
        <v>2760940004</v>
      </c>
      <c r="I58" s="347"/>
      <c r="J58" s="347"/>
      <c r="K58" s="319"/>
      <c r="L58" s="320"/>
      <c r="M58" s="320"/>
      <c r="N58" s="320"/>
      <c r="O58" s="325"/>
      <c r="P58" s="325"/>
      <c r="Q58" s="325"/>
      <c r="R58" s="325"/>
      <c r="S58" s="325"/>
      <c r="T58" s="325"/>
      <c r="U58" s="319"/>
      <c r="V58" s="324"/>
      <c r="W58" s="319">
        <v>83034</v>
      </c>
      <c r="X58" s="324"/>
      <c r="Y58" s="322"/>
      <c r="Z58" s="324"/>
      <c r="AA58" s="319"/>
      <c r="AB58" s="337" t="s">
        <v>2648</v>
      </c>
      <c r="AC58" s="318" t="s">
        <v>2649</v>
      </c>
      <c r="AD58" s="328" t="s">
        <v>2650</v>
      </c>
      <c r="AE58" s="347"/>
      <c r="AF58" s="347" t="s">
        <v>2651</v>
      </c>
      <c r="AG58" s="347"/>
      <c r="AH58" s="347" t="s">
        <v>2652</v>
      </c>
      <c r="AI58" s="347"/>
      <c r="AJ58" s="347"/>
      <c r="AK58" s="347">
        <v>9034</v>
      </c>
      <c r="AL58" s="318"/>
      <c r="AM58" s="347" t="s">
        <v>2653</v>
      </c>
      <c r="AN58" s="347" t="s">
        <v>2654</v>
      </c>
      <c r="AO58" s="347"/>
      <c r="AP58" s="347" t="s">
        <v>2654</v>
      </c>
      <c r="AQ58" s="337">
        <v>49034</v>
      </c>
      <c r="AR58" s="159">
        <v>43.54</v>
      </c>
      <c r="AS58" s="330"/>
      <c r="AT58" s="111"/>
      <c r="AU58" s="111"/>
      <c r="AV58" s="111"/>
      <c r="AW58" s="312"/>
      <c r="AX58" s="336" t="s">
        <v>2702</v>
      </c>
      <c r="AY58" s="336" t="s">
        <v>2703</v>
      </c>
      <c r="AZ58" s="335">
        <v>16.7</v>
      </c>
      <c r="BA58" s="335">
        <v>7.9210000000000003</v>
      </c>
      <c r="BB58" s="335">
        <v>1.101</v>
      </c>
      <c r="BC58" s="327"/>
      <c r="BD58" s="327"/>
      <c r="BE58" s="340">
        <v>1.1240000000000001</v>
      </c>
      <c r="BF58" s="353">
        <f>10.75+0.036</f>
        <v>10.786</v>
      </c>
      <c r="BG58" s="353">
        <f>1.75+0.036</f>
        <v>1.786</v>
      </c>
      <c r="BH58" s="350">
        <f>17.62+0.036+0.036</f>
        <v>17.692000000000004</v>
      </c>
      <c r="BI58" s="350">
        <f t="shared" si="24"/>
        <v>0.1972309483981482</v>
      </c>
      <c r="BJ58" s="340">
        <v>0.31</v>
      </c>
      <c r="BK58" s="349">
        <f>17.87+0.25</f>
        <v>18.12</v>
      </c>
      <c r="BL58" s="349">
        <v>12.25</v>
      </c>
      <c r="BM58" s="349">
        <v>6.62</v>
      </c>
      <c r="BN58" s="350">
        <f t="shared" si="25"/>
        <v>0.85037118055555561</v>
      </c>
      <c r="BO58" s="354">
        <v>0.81</v>
      </c>
      <c r="BP58" s="354"/>
      <c r="BQ58" s="354"/>
      <c r="BR58" s="323" t="s">
        <v>733</v>
      </c>
      <c r="BS58" s="332">
        <v>3</v>
      </c>
      <c r="BT58" s="332">
        <v>7</v>
      </c>
      <c r="BU58" s="332">
        <v>6</v>
      </c>
      <c r="BV58" s="321">
        <f t="shared" si="23"/>
        <v>126</v>
      </c>
      <c r="BW58" s="351">
        <f>((((BE58+BJ58)*BS58)+BO58)*BT58*BU58)+50</f>
        <v>264.70400000000001</v>
      </c>
      <c r="BX58" s="321" t="s">
        <v>743</v>
      </c>
      <c r="BY58" s="342" t="s">
        <v>735</v>
      </c>
      <c r="BZ58" s="331"/>
      <c r="CA58" s="331"/>
      <c r="CB58" s="326"/>
    </row>
    <row r="59" spans="1:82" s="316" customFormat="1" x14ac:dyDescent="0.25">
      <c r="A59" s="345">
        <v>42629</v>
      </c>
      <c r="B59" s="338" t="s">
        <v>14</v>
      </c>
      <c r="C59" s="333" t="s">
        <v>2655</v>
      </c>
      <c r="D59" s="333" t="s">
        <v>746</v>
      </c>
      <c r="E59" s="333" t="s">
        <v>697</v>
      </c>
      <c r="F59" s="343" t="s">
        <v>2656</v>
      </c>
      <c r="G59" s="328" t="s">
        <v>912</v>
      </c>
      <c r="H59" s="344" t="s">
        <v>2657</v>
      </c>
      <c r="I59" s="347" t="s">
        <v>46</v>
      </c>
      <c r="J59" s="347" t="s">
        <v>2658</v>
      </c>
      <c r="K59" s="319"/>
      <c r="L59" s="320"/>
      <c r="M59" s="320"/>
      <c r="N59" s="320"/>
      <c r="O59" s="325"/>
      <c r="P59" s="325"/>
      <c r="Q59" s="325"/>
      <c r="R59" s="325"/>
      <c r="S59" s="325"/>
      <c r="T59" s="325"/>
      <c r="U59" s="319"/>
      <c r="V59" s="324"/>
      <c r="W59" s="319">
        <v>83013</v>
      </c>
      <c r="X59" s="324"/>
      <c r="Y59" s="322"/>
      <c r="Z59" s="324"/>
      <c r="AA59" s="319"/>
      <c r="AB59" s="337" t="s">
        <v>2659</v>
      </c>
      <c r="AC59" s="347" t="s">
        <v>2660</v>
      </c>
      <c r="AD59" s="328"/>
      <c r="AE59" s="347"/>
      <c r="AF59" s="347"/>
      <c r="AG59" s="347"/>
      <c r="AH59" s="347" t="s">
        <v>2661</v>
      </c>
      <c r="AI59" s="347"/>
      <c r="AJ59" s="347"/>
      <c r="AK59" s="347"/>
      <c r="AL59" s="322"/>
      <c r="AM59" s="347" t="s">
        <v>2662</v>
      </c>
      <c r="AN59" s="347" t="s">
        <v>2663</v>
      </c>
      <c r="AO59" s="347"/>
      <c r="AP59" s="347" t="s">
        <v>2663</v>
      </c>
      <c r="AQ59" s="337">
        <v>49013</v>
      </c>
      <c r="AR59" s="159">
        <v>27.94</v>
      </c>
      <c r="AS59" s="330"/>
      <c r="AT59" s="111"/>
      <c r="AU59" s="111"/>
      <c r="AV59" s="111"/>
      <c r="AW59" s="312"/>
      <c r="AX59" s="336" t="s">
        <v>2704</v>
      </c>
      <c r="AY59" s="336" t="s">
        <v>2705</v>
      </c>
      <c r="AZ59" s="348"/>
      <c r="BA59" s="348"/>
      <c r="BB59" s="348"/>
      <c r="BC59" s="352">
        <v>5.39</v>
      </c>
      <c r="BD59" s="352">
        <v>8.69</v>
      </c>
      <c r="BE59" s="340">
        <v>0.62</v>
      </c>
      <c r="BF59" s="353">
        <v>6.0359999999999996</v>
      </c>
      <c r="BG59" s="353">
        <v>6.0359999999999996</v>
      </c>
      <c r="BH59" s="353">
        <f>9+0.036+0.036</f>
        <v>9.0719999999999992</v>
      </c>
      <c r="BI59" s="350">
        <f t="shared" si="24"/>
        <v>0.19127480399999996</v>
      </c>
      <c r="BJ59" s="340">
        <v>0.1</v>
      </c>
      <c r="BK59" s="349">
        <v>18.75</v>
      </c>
      <c r="BL59" s="349">
        <v>6.75</v>
      </c>
      <c r="BM59" s="349">
        <v>9.6199999999999992</v>
      </c>
      <c r="BN59" s="350">
        <f t="shared" si="25"/>
        <v>0.70458984374999989</v>
      </c>
      <c r="BO59" s="354">
        <v>0.59</v>
      </c>
      <c r="BP59" s="354"/>
      <c r="BQ59" s="354"/>
      <c r="BR59" s="323" t="s">
        <v>733</v>
      </c>
      <c r="BS59" s="332">
        <v>3</v>
      </c>
      <c r="BT59" s="332">
        <v>10</v>
      </c>
      <c r="BU59" s="332">
        <v>6</v>
      </c>
      <c r="BV59" s="321">
        <f t="shared" si="23"/>
        <v>180</v>
      </c>
      <c r="BW59" s="351">
        <f>((((BE59+BJ59)*BS59)+BO59)*BT59*BU59)+50</f>
        <v>215</v>
      </c>
      <c r="BX59" s="321" t="s">
        <v>743</v>
      </c>
      <c r="BY59" s="342" t="s">
        <v>735</v>
      </c>
      <c r="BZ59" s="331"/>
      <c r="CA59" s="331"/>
      <c r="CB59" s="326"/>
      <c r="CC59" s="331"/>
    </row>
    <row r="60" spans="1:82" s="316" customFormat="1" x14ac:dyDescent="0.25">
      <c r="A60" s="345">
        <v>42629</v>
      </c>
      <c r="B60" s="338" t="s">
        <v>14</v>
      </c>
      <c r="C60" s="333" t="s">
        <v>2664</v>
      </c>
      <c r="D60" s="333" t="s">
        <v>746</v>
      </c>
      <c r="E60" s="333" t="s">
        <v>697</v>
      </c>
      <c r="F60" s="346" t="s">
        <v>2665</v>
      </c>
      <c r="G60" s="329" t="s">
        <v>769</v>
      </c>
      <c r="H60" s="328">
        <v>13718507320</v>
      </c>
      <c r="I60" s="347" t="s">
        <v>769</v>
      </c>
      <c r="J60" s="347">
        <v>13717630911</v>
      </c>
      <c r="K60" s="347" t="s">
        <v>2666</v>
      </c>
      <c r="L60" s="347" t="s">
        <v>2667</v>
      </c>
      <c r="M60" s="320"/>
      <c r="N60" s="320"/>
      <c r="O60" s="325"/>
      <c r="P60" s="325"/>
      <c r="Q60" s="325"/>
      <c r="R60" s="325"/>
      <c r="S60" s="325"/>
      <c r="T60" s="325"/>
      <c r="U60" s="319"/>
      <c r="V60" s="324"/>
      <c r="W60" s="319">
        <v>93005</v>
      </c>
      <c r="X60" s="324"/>
      <c r="Y60" s="322"/>
      <c r="Z60" s="324"/>
      <c r="AA60" s="319"/>
      <c r="AB60" s="337" t="s">
        <v>2668</v>
      </c>
      <c r="AC60" s="347" t="s">
        <v>2669</v>
      </c>
      <c r="AD60" s="328" t="s">
        <v>2670</v>
      </c>
      <c r="AE60" s="347"/>
      <c r="AF60" s="347" t="s">
        <v>2671</v>
      </c>
      <c r="AG60" s="347"/>
      <c r="AH60" s="347" t="s">
        <v>2672</v>
      </c>
      <c r="AI60" s="347"/>
      <c r="AJ60" s="347"/>
      <c r="AK60" s="347">
        <v>200005</v>
      </c>
      <c r="AL60" s="322"/>
      <c r="AM60" s="347"/>
      <c r="AN60" s="347" t="s">
        <v>2673</v>
      </c>
      <c r="AO60" s="347"/>
      <c r="AP60" s="347" t="s">
        <v>2673</v>
      </c>
      <c r="AQ60" s="337" t="s">
        <v>2674</v>
      </c>
      <c r="AR60" s="159">
        <v>25.41</v>
      </c>
      <c r="AS60" s="330"/>
      <c r="AT60" s="111"/>
      <c r="AU60" s="111"/>
      <c r="AV60" s="111"/>
      <c r="AW60" s="312"/>
      <c r="AX60" s="336" t="s">
        <v>2706</v>
      </c>
      <c r="AY60" s="336" t="s">
        <v>2707</v>
      </c>
      <c r="AZ60" s="335">
        <v>8.92</v>
      </c>
      <c r="BA60" s="335">
        <v>8.01</v>
      </c>
      <c r="BB60" s="335">
        <v>1.62</v>
      </c>
      <c r="BC60" s="327"/>
      <c r="BD60" s="327"/>
      <c r="BE60" s="340">
        <v>0.32</v>
      </c>
      <c r="BF60" s="353">
        <f>8.5+0.18+0.18</f>
        <v>8.86</v>
      </c>
      <c r="BG60" s="353">
        <f>2.37+0.036</f>
        <v>2.4060000000000001</v>
      </c>
      <c r="BH60" s="350">
        <f>10.62+0.036+0.036</f>
        <v>10.691999999999998</v>
      </c>
      <c r="BI60" s="350">
        <f t="shared" si="24"/>
        <v>0.13189992749999999</v>
      </c>
      <c r="BJ60" s="340">
        <v>0.2</v>
      </c>
      <c r="BK60" s="349">
        <v>12.5</v>
      </c>
      <c r="BL60" s="349">
        <v>10.5</v>
      </c>
      <c r="BM60" s="349">
        <v>8.25</v>
      </c>
      <c r="BN60" s="350">
        <f t="shared" si="25"/>
        <v>0.62662760416666663</v>
      </c>
      <c r="BO60" s="354">
        <v>0.59</v>
      </c>
      <c r="BP60" s="354"/>
      <c r="BQ60" s="354"/>
      <c r="BR60" s="323" t="s">
        <v>733</v>
      </c>
      <c r="BS60" s="332">
        <v>3</v>
      </c>
      <c r="BT60" s="332">
        <v>12</v>
      </c>
      <c r="BU60" s="332">
        <v>5</v>
      </c>
      <c r="BV60" s="321">
        <f t="shared" si="23"/>
        <v>180</v>
      </c>
      <c r="BW60" s="351">
        <f>((((BE60+BJ60)*BS60)+BO60)*BT60*BU60)+50</f>
        <v>179</v>
      </c>
      <c r="BX60" s="321" t="s">
        <v>955</v>
      </c>
      <c r="BY60" s="342" t="s">
        <v>735</v>
      </c>
      <c r="BZ60" s="331"/>
      <c r="CA60" s="331"/>
      <c r="CB60" s="326"/>
      <c r="CC60" s="331"/>
    </row>
    <row r="61" spans="1:82" s="316" customFormat="1" x14ac:dyDescent="0.25">
      <c r="A61" s="345">
        <v>42629</v>
      </c>
      <c r="B61" s="338" t="s">
        <v>14</v>
      </c>
      <c r="C61" s="333" t="s">
        <v>2716</v>
      </c>
      <c r="D61" s="333" t="s">
        <v>746</v>
      </c>
      <c r="E61" s="333" t="s">
        <v>697</v>
      </c>
      <c r="F61" s="343" t="s">
        <v>2717</v>
      </c>
      <c r="G61" s="329" t="s">
        <v>912</v>
      </c>
      <c r="H61" s="328" t="s">
        <v>2718</v>
      </c>
      <c r="I61" s="329" t="s">
        <v>912</v>
      </c>
      <c r="J61" s="328" t="s">
        <v>2719</v>
      </c>
      <c r="K61" s="329" t="s">
        <v>912</v>
      </c>
      <c r="L61" s="328" t="s">
        <v>2718</v>
      </c>
      <c r="M61" s="329" t="s">
        <v>912</v>
      </c>
      <c r="N61" s="328" t="s">
        <v>2720</v>
      </c>
      <c r="O61" s="329" t="s">
        <v>912</v>
      </c>
      <c r="P61" s="328" t="s">
        <v>2721</v>
      </c>
      <c r="Q61" s="325"/>
      <c r="R61" s="325"/>
      <c r="S61" s="325"/>
      <c r="T61" s="325"/>
      <c r="U61" s="319"/>
      <c r="V61" s="324"/>
      <c r="W61" s="319"/>
      <c r="X61" s="324"/>
      <c r="Y61" s="322"/>
      <c r="Z61" s="324"/>
      <c r="AA61" s="319"/>
      <c r="AB61" s="337"/>
      <c r="AC61" s="347"/>
      <c r="AD61" s="328" t="s">
        <v>2722</v>
      </c>
      <c r="AE61" s="347"/>
      <c r="AF61" s="347" t="s">
        <v>2723</v>
      </c>
      <c r="AG61" s="347"/>
      <c r="AH61" s="347" t="s">
        <v>2724</v>
      </c>
      <c r="AI61" s="347"/>
      <c r="AJ61" s="347"/>
      <c r="AK61" s="347"/>
      <c r="AL61" s="322"/>
      <c r="AM61" s="347"/>
      <c r="AN61" s="347"/>
      <c r="AO61" s="347"/>
      <c r="AP61" s="347"/>
      <c r="AQ61" s="337"/>
      <c r="AR61" s="159">
        <v>20.18</v>
      </c>
      <c r="AS61" s="330"/>
      <c r="AT61" s="111"/>
      <c r="AU61" s="111"/>
      <c r="AV61" s="111"/>
      <c r="AW61" s="312"/>
      <c r="AX61" s="336" t="s">
        <v>2731</v>
      </c>
      <c r="AY61" s="336" t="s">
        <v>2732</v>
      </c>
      <c r="AZ61" s="348">
        <v>9.1300000000000008</v>
      </c>
      <c r="BA61" s="348">
        <v>4.57</v>
      </c>
      <c r="BB61" s="348">
        <v>2.44</v>
      </c>
      <c r="BC61" s="352"/>
      <c r="BD61" s="352"/>
      <c r="BE61" s="340">
        <v>1.02</v>
      </c>
      <c r="BF61" s="353" t="s">
        <v>2733</v>
      </c>
      <c r="BG61" s="353" t="s">
        <v>2733</v>
      </c>
      <c r="BH61" s="353" t="s">
        <v>2733</v>
      </c>
      <c r="BI61" s="350" t="s">
        <v>2733</v>
      </c>
      <c r="BJ61" s="340" t="s">
        <v>2733</v>
      </c>
      <c r="BK61" s="349">
        <v>10</v>
      </c>
      <c r="BL61" s="349">
        <v>5.25</v>
      </c>
      <c r="BM61" s="349">
        <v>9.3699999999999992</v>
      </c>
      <c r="BN61" s="350">
        <f>(BK61*BL61*BM61)/1728</f>
        <v>0.2846788194444444</v>
      </c>
      <c r="BO61" s="354">
        <v>3.36</v>
      </c>
      <c r="BP61" s="354"/>
      <c r="BQ61" s="354"/>
      <c r="BR61" s="323"/>
      <c r="BS61" s="332">
        <v>3</v>
      </c>
      <c r="BT61" s="332">
        <v>32</v>
      </c>
      <c r="BU61" s="332">
        <v>4</v>
      </c>
      <c r="BV61" s="332">
        <v>384</v>
      </c>
      <c r="BW61" s="332">
        <v>519</v>
      </c>
      <c r="BX61" s="332" t="s">
        <v>743</v>
      </c>
      <c r="BY61" s="342"/>
      <c r="BZ61" s="331"/>
      <c r="CA61" s="331"/>
      <c r="CB61" s="326"/>
      <c r="CC61" s="331"/>
    </row>
    <row r="62" spans="1:82" s="316" customFormat="1" x14ac:dyDescent="0.25">
      <c r="A62" s="345">
        <v>42629</v>
      </c>
      <c r="B62" s="338" t="s">
        <v>14</v>
      </c>
      <c r="C62" s="333" t="s">
        <v>2725</v>
      </c>
      <c r="D62" s="333" t="s">
        <v>746</v>
      </c>
      <c r="E62" s="333" t="s">
        <v>697</v>
      </c>
      <c r="F62" s="343" t="s">
        <v>2726</v>
      </c>
      <c r="G62" s="329" t="s">
        <v>967</v>
      </c>
      <c r="H62" s="328" t="s">
        <v>2727</v>
      </c>
      <c r="I62" s="347"/>
      <c r="J62" s="347"/>
      <c r="K62" s="347"/>
      <c r="L62" s="347"/>
      <c r="M62" s="320"/>
      <c r="N62" s="320"/>
      <c r="O62" s="325"/>
      <c r="P62" s="325"/>
      <c r="Q62" s="325"/>
      <c r="R62" s="325"/>
      <c r="S62" s="325"/>
      <c r="T62" s="325"/>
      <c r="U62" s="319" t="s">
        <v>2728</v>
      </c>
      <c r="V62" s="324"/>
      <c r="W62" s="319"/>
      <c r="X62" s="324"/>
      <c r="Y62" s="322"/>
      <c r="Z62" s="324"/>
      <c r="AA62" s="319"/>
      <c r="AB62" s="337"/>
      <c r="AC62" s="347"/>
      <c r="AD62" s="328"/>
      <c r="AE62" s="347"/>
      <c r="AF62" s="347"/>
      <c r="AG62" s="347"/>
      <c r="AH62" s="347"/>
      <c r="AI62" s="347"/>
      <c r="AJ62" s="347"/>
      <c r="AK62" s="347"/>
      <c r="AL62" s="322"/>
      <c r="AM62" s="347"/>
      <c r="AN62" s="347"/>
      <c r="AO62" s="347"/>
      <c r="AP62" s="347"/>
      <c r="AQ62" s="337"/>
      <c r="AR62" s="159">
        <v>37.1</v>
      </c>
      <c r="AS62" s="330"/>
      <c r="AT62" s="111"/>
      <c r="AU62" s="111"/>
      <c r="AV62" s="111"/>
      <c r="AW62" s="312"/>
      <c r="AX62" s="336" t="s">
        <v>2734</v>
      </c>
      <c r="AY62" s="336" t="s">
        <v>2735</v>
      </c>
      <c r="AZ62" s="348">
        <v>11.38</v>
      </c>
      <c r="BA62" s="348">
        <v>6.95</v>
      </c>
      <c r="BB62" s="348">
        <v>2.74</v>
      </c>
      <c r="BC62" s="352"/>
      <c r="BD62" s="352"/>
      <c r="BE62" s="340">
        <v>0.69</v>
      </c>
      <c r="BF62" s="353">
        <v>7.16</v>
      </c>
      <c r="BG62" s="353">
        <v>3.03</v>
      </c>
      <c r="BH62" s="353">
        <v>11.57</v>
      </c>
      <c r="BI62" s="350">
        <f>(BF62*BG62*BH62)/1728</f>
        <v>0.14525974305555556</v>
      </c>
      <c r="BJ62" s="340">
        <v>0.1</v>
      </c>
      <c r="BK62" s="349">
        <v>18.829999999999998</v>
      </c>
      <c r="BL62" s="349">
        <v>12.06</v>
      </c>
      <c r="BM62" s="349">
        <v>8.14</v>
      </c>
      <c r="BN62" s="350">
        <f t="shared" ref="BN62:BN63" si="26">(BK62*BL62*BM62)/1728</f>
        <v>1.0697401458333333</v>
      </c>
      <c r="BO62" s="354">
        <v>5.34</v>
      </c>
      <c r="BP62" s="354"/>
      <c r="BQ62" s="354"/>
      <c r="BR62" s="323"/>
      <c r="BS62" s="332">
        <v>6</v>
      </c>
      <c r="BT62" s="332">
        <v>7</v>
      </c>
      <c r="BU62" s="332">
        <v>5</v>
      </c>
      <c r="BV62" s="321">
        <v>210</v>
      </c>
      <c r="BW62" s="351">
        <v>237</v>
      </c>
      <c r="BX62" s="321" t="s">
        <v>734</v>
      </c>
      <c r="BY62" s="342"/>
      <c r="BZ62" s="331"/>
      <c r="CA62" s="331"/>
      <c r="CB62" s="326"/>
      <c r="CC62" s="331"/>
    </row>
    <row r="63" spans="1:82" s="316" customFormat="1" x14ac:dyDescent="0.25">
      <c r="A63" s="345">
        <v>42629</v>
      </c>
      <c r="B63" s="338" t="s">
        <v>14</v>
      </c>
      <c r="C63" s="333" t="s">
        <v>2729</v>
      </c>
      <c r="D63" s="333" t="s">
        <v>746</v>
      </c>
      <c r="E63" s="333" t="s">
        <v>737</v>
      </c>
      <c r="F63" s="346" t="s">
        <v>2730</v>
      </c>
      <c r="G63" s="329" t="s">
        <v>769</v>
      </c>
      <c r="H63" s="328">
        <v>64119321875</v>
      </c>
      <c r="I63" s="329" t="s">
        <v>769</v>
      </c>
      <c r="J63" s="347">
        <v>64319390445</v>
      </c>
      <c r="K63" s="329" t="s">
        <v>769</v>
      </c>
      <c r="L63" s="347">
        <v>64319297750</v>
      </c>
      <c r="M63" s="320"/>
      <c r="N63" s="320"/>
      <c r="O63" s="325"/>
      <c r="P63" s="325"/>
      <c r="Q63" s="325"/>
      <c r="R63" s="325"/>
      <c r="S63" s="325"/>
      <c r="T63" s="325"/>
      <c r="U63" s="319"/>
      <c r="V63" s="324"/>
      <c r="W63" s="319"/>
      <c r="X63" s="324"/>
      <c r="Y63" s="322"/>
      <c r="Z63" s="324"/>
      <c r="AA63" s="319"/>
      <c r="AB63" s="337"/>
      <c r="AC63" s="347"/>
      <c r="AD63" s="328"/>
      <c r="AE63" s="347"/>
      <c r="AF63" s="347"/>
      <c r="AG63" s="347"/>
      <c r="AH63" s="347"/>
      <c r="AI63" s="347"/>
      <c r="AJ63" s="347"/>
      <c r="AK63" s="347"/>
      <c r="AL63" s="322"/>
      <c r="AM63" s="347"/>
      <c r="AN63" s="347"/>
      <c r="AO63" s="347"/>
      <c r="AP63" s="347"/>
      <c r="AQ63" s="337"/>
      <c r="AR63" s="159">
        <v>32.39</v>
      </c>
      <c r="AS63" s="330"/>
      <c r="AT63" s="111"/>
      <c r="AU63" s="111"/>
      <c r="AV63" s="111"/>
      <c r="AW63" s="312"/>
      <c r="AX63" s="336" t="s">
        <v>2736</v>
      </c>
      <c r="AY63" s="336" t="s">
        <v>2737</v>
      </c>
      <c r="AZ63" s="335"/>
      <c r="BA63" s="335"/>
      <c r="BB63" s="335"/>
      <c r="BC63" s="327">
        <v>6.52</v>
      </c>
      <c r="BD63" s="327">
        <v>12.38</v>
      </c>
      <c r="BE63" s="340">
        <v>1.6</v>
      </c>
      <c r="BF63" s="353">
        <v>6.89</v>
      </c>
      <c r="BG63" s="353">
        <v>6.89</v>
      </c>
      <c r="BH63" s="350">
        <v>13.583</v>
      </c>
      <c r="BI63" s="350">
        <f>(BF63*BG63*BH63)/1728</f>
        <v>0.37315598049768517</v>
      </c>
      <c r="BJ63" s="340">
        <v>0.13</v>
      </c>
      <c r="BK63" s="349">
        <v>21.707000000000001</v>
      </c>
      <c r="BL63" s="349">
        <v>15.013999999999999</v>
      </c>
      <c r="BM63" s="349">
        <v>15.067</v>
      </c>
      <c r="BN63" s="350">
        <f t="shared" si="26"/>
        <v>2.8417068091238429</v>
      </c>
      <c r="BO63" s="354">
        <v>10.8</v>
      </c>
      <c r="BP63" s="354"/>
      <c r="BQ63" s="354"/>
      <c r="BR63" s="323"/>
      <c r="BS63" s="332">
        <v>6</v>
      </c>
      <c r="BT63" s="332">
        <v>5</v>
      </c>
      <c r="BU63" s="332">
        <v>2</v>
      </c>
      <c r="BV63" s="321">
        <v>60</v>
      </c>
      <c r="BW63" s="351">
        <v>698</v>
      </c>
      <c r="BX63" s="321" t="s">
        <v>743</v>
      </c>
      <c r="BY63" s="342"/>
      <c r="BZ63" s="331"/>
      <c r="CA63" s="331"/>
      <c r="CB63" s="326"/>
      <c r="CC63" s="331"/>
    </row>
    <row r="64" spans="1:82" s="316" customFormat="1" x14ac:dyDescent="0.25">
      <c r="A64" s="345">
        <v>42629</v>
      </c>
      <c r="B64" s="338" t="s">
        <v>14</v>
      </c>
      <c r="C64" s="333" t="s">
        <v>2675</v>
      </c>
      <c r="D64" s="333" t="s">
        <v>746</v>
      </c>
      <c r="E64" s="333" t="s">
        <v>737</v>
      </c>
      <c r="F64" s="343" t="s">
        <v>2676</v>
      </c>
      <c r="G64" s="328" t="s">
        <v>2677</v>
      </c>
      <c r="H64" s="344">
        <v>96190645</v>
      </c>
      <c r="I64" s="347"/>
      <c r="J64" s="347"/>
      <c r="K64" s="319"/>
      <c r="L64" s="320"/>
      <c r="M64" s="320"/>
      <c r="N64" s="320"/>
      <c r="O64" s="325"/>
      <c r="P64" s="325"/>
      <c r="Q64" s="325"/>
      <c r="R64" s="325"/>
      <c r="S64" s="325"/>
      <c r="T64" s="325"/>
      <c r="U64" s="319"/>
      <c r="V64" s="324"/>
      <c r="W64" s="319"/>
      <c r="X64" s="324"/>
      <c r="Y64" s="322"/>
      <c r="Z64" s="324"/>
      <c r="AA64" s="319"/>
      <c r="AB64" s="337"/>
      <c r="AC64" s="347"/>
      <c r="AD64" s="328"/>
      <c r="AE64" s="347"/>
      <c r="AF64" s="347"/>
      <c r="AG64" s="347"/>
      <c r="AH64" s="347"/>
      <c r="AI64" s="347"/>
      <c r="AJ64" s="347"/>
      <c r="AK64" s="347"/>
      <c r="AL64" s="322"/>
      <c r="AM64" s="347" t="s">
        <v>2675</v>
      </c>
      <c r="AN64" s="347"/>
      <c r="AO64" s="347"/>
      <c r="AP64" s="347"/>
      <c r="AQ64" s="337"/>
      <c r="AR64" s="339">
        <v>22.18</v>
      </c>
      <c r="AS64" s="330"/>
      <c r="AT64" s="111"/>
      <c r="AU64" s="111"/>
      <c r="AV64" s="111"/>
      <c r="AW64" s="312"/>
      <c r="AX64" s="336" t="s">
        <v>2708</v>
      </c>
      <c r="AY64" s="336" t="s">
        <v>2709</v>
      </c>
      <c r="AZ64" s="335">
        <v>8.56</v>
      </c>
      <c r="BA64" s="335">
        <v>7.68</v>
      </c>
      <c r="BB64" s="335">
        <v>0.98</v>
      </c>
      <c r="BC64" s="327"/>
      <c r="BD64" s="327"/>
      <c r="BE64" s="340">
        <v>0.35</v>
      </c>
      <c r="BF64" s="353">
        <f>8.14+0.036</f>
        <v>8.1760000000000002</v>
      </c>
      <c r="BG64" s="353">
        <f>1.45+0.036</f>
        <v>1.486</v>
      </c>
      <c r="BH64" s="350">
        <f>9.01+0.036+0.036</f>
        <v>9.081999999999999</v>
      </c>
      <c r="BI64" s="350">
        <f t="shared" si="24"/>
        <v>6.3855373814814806E-2</v>
      </c>
      <c r="BJ64" s="340">
        <v>0.12</v>
      </c>
      <c r="BK64" s="349">
        <f>10.12+0.25</f>
        <v>10.37</v>
      </c>
      <c r="BL64" s="349">
        <v>9.5</v>
      </c>
      <c r="BM64" s="349">
        <v>10.62</v>
      </c>
      <c r="BN64" s="350">
        <f t="shared" si="25"/>
        <v>0.60545677083333316</v>
      </c>
      <c r="BO64" s="354">
        <v>0.56000000000000005</v>
      </c>
      <c r="BP64" s="354"/>
      <c r="BQ64" s="354"/>
      <c r="BR64" s="323" t="s">
        <v>733</v>
      </c>
      <c r="BS64" s="332">
        <v>6</v>
      </c>
      <c r="BT64" s="332">
        <v>20</v>
      </c>
      <c r="BU64" s="332">
        <v>3</v>
      </c>
      <c r="BV64" s="321">
        <f t="shared" si="23"/>
        <v>360</v>
      </c>
      <c r="BW64" s="351">
        <f>((((BE64+BJ64)*BS64)+BO64)*BT64*BU64)+50</f>
        <v>252.79999999999998</v>
      </c>
      <c r="BX64" s="321" t="s">
        <v>743</v>
      </c>
      <c r="BY64" s="342" t="s">
        <v>744</v>
      </c>
      <c r="BZ64" s="331"/>
      <c r="CA64" s="331"/>
      <c r="CB64" s="326"/>
      <c r="CC64" s="331"/>
    </row>
    <row r="65" spans="1:82" s="316" customFormat="1" x14ac:dyDescent="0.25">
      <c r="A65" s="345">
        <v>42629</v>
      </c>
      <c r="B65" s="338" t="s">
        <v>14</v>
      </c>
      <c r="C65" s="332" t="s">
        <v>2678</v>
      </c>
      <c r="D65" s="333" t="s">
        <v>746</v>
      </c>
      <c r="E65" s="333" t="s">
        <v>982</v>
      </c>
      <c r="F65" s="343" t="s">
        <v>2679</v>
      </c>
      <c r="G65" s="328" t="s">
        <v>748</v>
      </c>
      <c r="H65" s="344">
        <v>12667194</v>
      </c>
      <c r="I65" s="347" t="s">
        <v>749</v>
      </c>
      <c r="J65" s="347" t="s">
        <v>2680</v>
      </c>
      <c r="K65" s="319" t="s">
        <v>748</v>
      </c>
      <c r="L65" s="320">
        <v>12667194</v>
      </c>
      <c r="M65" s="320" t="s">
        <v>748</v>
      </c>
      <c r="N65" s="320">
        <v>12674698</v>
      </c>
      <c r="O65" s="325"/>
      <c r="P65" s="325"/>
      <c r="Q65" s="325"/>
      <c r="R65" s="325"/>
      <c r="S65" s="325"/>
      <c r="T65" s="325"/>
      <c r="U65" s="319"/>
      <c r="V65" s="324"/>
      <c r="W65" s="319"/>
      <c r="X65" s="324"/>
      <c r="Y65" s="322"/>
      <c r="Z65" s="324"/>
      <c r="AA65" s="319"/>
      <c r="AB65" s="337"/>
      <c r="AC65" s="347"/>
      <c r="AD65" s="328"/>
      <c r="AE65" s="347"/>
      <c r="AF65" s="347"/>
      <c r="AG65" s="347"/>
      <c r="AH65" s="347"/>
      <c r="AI65" s="347"/>
      <c r="AJ65" s="347"/>
      <c r="AK65" s="347"/>
      <c r="AL65" s="322"/>
      <c r="AM65" s="347"/>
      <c r="AN65" s="347" t="s">
        <v>2681</v>
      </c>
      <c r="AO65" s="347"/>
      <c r="AP65" s="347" t="s">
        <v>2681</v>
      </c>
      <c r="AQ65" s="337"/>
      <c r="AR65" s="339">
        <v>6.56</v>
      </c>
      <c r="AS65" s="330">
        <v>0.5</v>
      </c>
      <c r="AT65" s="111">
        <v>0.55000000000000004</v>
      </c>
      <c r="AU65" s="111">
        <v>0.35</v>
      </c>
      <c r="AV65" s="111">
        <v>0.38</v>
      </c>
      <c r="AW65" s="312"/>
      <c r="AX65" s="336" t="s">
        <v>2710</v>
      </c>
      <c r="AY65" s="336" t="s">
        <v>2711</v>
      </c>
      <c r="AZ65" s="348"/>
      <c r="BA65" s="348"/>
      <c r="BB65" s="348"/>
      <c r="BC65" s="352">
        <v>3.02</v>
      </c>
      <c r="BD65" s="352">
        <v>3.5</v>
      </c>
      <c r="BE65" s="340">
        <v>0.71</v>
      </c>
      <c r="BF65" s="350">
        <f>3.156+0.036</f>
        <v>3.1920000000000002</v>
      </c>
      <c r="BG65" s="350">
        <f>3.156+0.036</f>
        <v>3.1920000000000002</v>
      </c>
      <c r="BH65" s="353">
        <f>4.036+0.036</f>
        <v>4.0719999999999992</v>
      </c>
      <c r="BI65" s="350">
        <f t="shared" si="24"/>
        <v>2.4009869333333329E-2</v>
      </c>
      <c r="BJ65" s="340">
        <v>0.1</v>
      </c>
      <c r="BK65" s="349">
        <v>13</v>
      </c>
      <c r="BL65" s="349">
        <f>9.562+0.25</f>
        <v>9.8119999999999994</v>
      </c>
      <c r="BM65" s="349">
        <f>4.137+0.5</f>
        <v>4.6369999999999996</v>
      </c>
      <c r="BN65" s="350">
        <f t="shared" si="25"/>
        <v>0.34229003009259251</v>
      </c>
      <c r="BO65" s="341">
        <v>0.25</v>
      </c>
      <c r="BP65" s="341"/>
      <c r="BQ65" s="341"/>
      <c r="BR65" s="323" t="s">
        <v>733</v>
      </c>
      <c r="BS65" s="332">
        <v>12</v>
      </c>
      <c r="BT65" s="332">
        <v>14</v>
      </c>
      <c r="BU65" s="332">
        <v>10</v>
      </c>
      <c r="BV65" s="321">
        <f t="shared" si="23"/>
        <v>1680</v>
      </c>
      <c r="BW65" s="351">
        <f>((((BE65+BJ65)*BS65)+BO65)*BT65*BU65)+50</f>
        <v>1445.7999999999997</v>
      </c>
      <c r="BX65" s="321" t="s">
        <v>890</v>
      </c>
      <c r="BY65" s="342" t="s">
        <v>783</v>
      </c>
      <c r="BZ65" s="331"/>
      <c r="CA65" s="331"/>
      <c r="CB65" s="326"/>
      <c r="CC65" s="331"/>
    </row>
    <row r="66" spans="1:82" s="316" customFormat="1" x14ac:dyDescent="0.25">
      <c r="A66" s="345">
        <v>42629</v>
      </c>
      <c r="B66" s="334" t="s">
        <v>14</v>
      </c>
      <c r="C66" s="333" t="s">
        <v>2682</v>
      </c>
      <c r="D66" s="333" t="s">
        <v>746</v>
      </c>
      <c r="E66" s="333" t="s">
        <v>737</v>
      </c>
      <c r="F66" s="343" t="s">
        <v>2683</v>
      </c>
      <c r="G66" s="328" t="s">
        <v>2684</v>
      </c>
      <c r="H66" s="344" t="s">
        <v>2685</v>
      </c>
      <c r="I66" s="347" t="s">
        <v>912</v>
      </c>
      <c r="J66" s="347" t="s">
        <v>2686</v>
      </c>
      <c r="K66" s="319"/>
      <c r="L66" s="320"/>
      <c r="M66" s="320"/>
      <c r="N66" s="320"/>
      <c r="O66" s="325"/>
      <c r="P66" s="325"/>
      <c r="Q66" s="325"/>
      <c r="R66" s="325"/>
      <c r="S66" s="325"/>
      <c r="T66" s="325"/>
      <c r="U66" s="319"/>
      <c r="V66" s="324"/>
      <c r="W66" s="319"/>
      <c r="X66" s="324"/>
      <c r="Y66" s="322"/>
      <c r="Z66" s="324"/>
      <c r="AA66" s="319"/>
      <c r="AB66" s="337"/>
      <c r="AC66" s="347"/>
      <c r="AD66" s="328" t="s">
        <v>2687</v>
      </c>
      <c r="AE66" s="347"/>
      <c r="AF66" s="347"/>
      <c r="AG66" s="347"/>
      <c r="AH66" s="347" t="s">
        <v>2688</v>
      </c>
      <c r="AI66" s="347"/>
      <c r="AJ66" s="347"/>
      <c r="AK66" s="347"/>
      <c r="AL66" s="322"/>
      <c r="AM66" s="347"/>
      <c r="AN66" s="347"/>
      <c r="AO66" s="347"/>
      <c r="AP66" s="347"/>
      <c r="AQ66" s="337"/>
      <c r="AR66" s="339">
        <v>17.93</v>
      </c>
      <c r="AS66" s="330"/>
      <c r="AT66" s="111"/>
      <c r="AU66" s="111"/>
      <c r="AV66" s="111"/>
      <c r="AW66" s="312"/>
      <c r="AX66" s="336" t="s">
        <v>2712</v>
      </c>
      <c r="AY66" s="336" t="s">
        <v>2713</v>
      </c>
      <c r="AZ66" s="335">
        <v>10</v>
      </c>
      <c r="BA66" s="335">
        <v>9.25</v>
      </c>
      <c r="BB66" s="335">
        <v>1.1200000000000001</v>
      </c>
      <c r="BC66" s="327"/>
      <c r="BD66" s="327"/>
      <c r="BE66" s="340">
        <v>0.21</v>
      </c>
      <c r="BF66" s="353">
        <f>10.031+0.018+0.018</f>
        <v>10.067000000000002</v>
      </c>
      <c r="BG66" s="353">
        <f>1.61+0.018+0.018</f>
        <v>1.6460000000000001</v>
      </c>
      <c r="BH66" s="350">
        <f>10.625+(0.018*4)</f>
        <v>10.696999999999999</v>
      </c>
      <c r="BI66" s="350">
        <f t="shared" si="24"/>
        <v>0.10257656629282409</v>
      </c>
      <c r="BJ66" s="340">
        <v>0.15</v>
      </c>
      <c r="BK66" s="349">
        <v>12</v>
      </c>
      <c r="BL66" s="349">
        <v>10.37</v>
      </c>
      <c r="BM66" s="349">
        <v>10.62</v>
      </c>
      <c r="BN66" s="350">
        <f t="shared" si="25"/>
        <v>0.76478749999999995</v>
      </c>
      <c r="BO66" s="354">
        <v>0.66</v>
      </c>
      <c r="BP66" s="354"/>
      <c r="BQ66" s="354"/>
      <c r="BR66" s="323" t="s">
        <v>733</v>
      </c>
      <c r="BS66" s="332">
        <v>6</v>
      </c>
      <c r="BT66" s="332">
        <v>12</v>
      </c>
      <c r="BU66" s="332">
        <v>4</v>
      </c>
      <c r="BV66" s="321">
        <f t="shared" si="23"/>
        <v>288</v>
      </c>
      <c r="BW66" s="351">
        <f>((((BE66+BJ66)*BS66)+BO66)*BT66*BU66)+50</f>
        <v>185.36</v>
      </c>
      <c r="BX66" s="321" t="s">
        <v>890</v>
      </c>
      <c r="BY66" s="342" t="s">
        <v>744</v>
      </c>
      <c r="BZ66" s="331"/>
      <c r="CA66" s="331"/>
      <c r="CB66" s="326"/>
      <c r="CC66" s="331"/>
    </row>
    <row r="67" spans="1:82" s="316" customFormat="1" x14ac:dyDescent="0.25">
      <c r="A67" s="345">
        <v>42629</v>
      </c>
      <c r="B67" s="334" t="s">
        <v>14</v>
      </c>
      <c r="C67" s="332" t="s">
        <v>2689</v>
      </c>
      <c r="D67" s="333" t="s">
        <v>746</v>
      </c>
      <c r="E67" s="333" t="s">
        <v>944</v>
      </c>
      <c r="F67" s="343" t="s">
        <v>2690</v>
      </c>
      <c r="G67" s="328" t="s">
        <v>912</v>
      </c>
      <c r="H67" s="328" t="s">
        <v>2691</v>
      </c>
      <c r="I67" s="347"/>
      <c r="J67" s="347"/>
      <c r="K67" s="319"/>
      <c r="L67" s="320"/>
      <c r="M67" s="320"/>
      <c r="N67" s="320"/>
      <c r="O67" s="325"/>
      <c r="P67" s="325"/>
      <c r="Q67" s="325"/>
      <c r="R67" s="325"/>
      <c r="S67" s="325"/>
      <c r="T67" s="325"/>
      <c r="U67" s="319"/>
      <c r="V67" s="324"/>
      <c r="W67" s="319">
        <v>94717</v>
      </c>
      <c r="X67" s="324"/>
      <c r="Y67" s="322"/>
      <c r="Z67" s="324"/>
      <c r="AA67" s="319"/>
      <c r="AB67" s="337"/>
      <c r="AC67" s="347"/>
      <c r="AD67" s="328" t="s">
        <v>2692</v>
      </c>
      <c r="AE67" s="347"/>
      <c r="AF67" s="347"/>
      <c r="AG67" s="347"/>
      <c r="AH67" s="347" t="s">
        <v>2693</v>
      </c>
      <c r="AI67" s="347"/>
      <c r="AJ67" s="347"/>
      <c r="AK67" s="347"/>
      <c r="AL67" s="322" t="s">
        <v>2694</v>
      </c>
      <c r="AM67" s="347"/>
      <c r="AN67" s="347" t="s">
        <v>2695</v>
      </c>
      <c r="AO67" s="347"/>
      <c r="AP67" s="347" t="s">
        <v>2695</v>
      </c>
      <c r="AQ67" s="337" t="s">
        <v>2696</v>
      </c>
      <c r="AR67" s="339">
        <v>6.71</v>
      </c>
      <c r="AS67" s="330">
        <v>0.5</v>
      </c>
      <c r="AT67" s="111">
        <v>0.55000000000000004</v>
      </c>
      <c r="AU67" s="111">
        <v>0.35</v>
      </c>
      <c r="AV67" s="111">
        <v>0.38</v>
      </c>
      <c r="AW67" s="312"/>
      <c r="AX67" s="336" t="s">
        <v>2714</v>
      </c>
      <c r="AY67" s="336" t="s">
        <v>2715</v>
      </c>
      <c r="AZ67" s="348"/>
      <c r="BA67" s="348"/>
      <c r="BB67" s="348"/>
      <c r="BC67" s="352">
        <v>2.56</v>
      </c>
      <c r="BD67" s="352">
        <v>4.0350000000000001</v>
      </c>
      <c r="BE67" s="340">
        <v>0.13</v>
      </c>
      <c r="BF67" s="353">
        <f>2.68+0.018+0.018</f>
        <v>2.7159999999999997</v>
      </c>
      <c r="BG67" s="353">
        <f>2.68+0.018+0.018</f>
        <v>2.7159999999999997</v>
      </c>
      <c r="BH67" s="353">
        <f>4.25+(0.018*4)</f>
        <v>4.3220000000000001</v>
      </c>
      <c r="BI67" s="350">
        <f t="shared" si="24"/>
        <v>1.8450177796296291E-2</v>
      </c>
      <c r="BJ67" s="340">
        <v>0.08</v>
      </c>
      <c r="BK67" s="349">
        <f>8.43+0.25</f>
        <v>8.68</v>
      </c>
      <c r="BL67" s="349">
        <v>6</v>
      </c>
      <c r="BM67" s="349">
        <f>4.65+0.5</f>
        <v>5.15</v>
      </c>
      <c r="BN67" s="350">
        <f t="shared" si="25"/>
        <v>0.15521527777777777</v>
      </c>
      <c r="BO67" s="341">
        <v>0.2</v>
      </c>
      <c r="BP67" s="341"/>
      <c r="BQ67" s="341"/>
      <c r="BR67" s="323" t="s">
        <v>733</v>
      </c>
      <c r="BS67" s="332">
        <v>6</v>
      </c>
      <c r="BT67" s="332">
        <v>33</v>
      </c>
      <c r="BU67" s="332">
        <v>8</v>
      </c>
      <c r="BV67" s="321">
        <f t="shared" si="23"/>
        <v>1584</v>
      </c>
      <c r="BW67" s="351">
        <f>((((BE67+BJ67)*BS67)+BO67)*BT67*BU67)+50</f>
        <v>435.44000000000005</v>
      </c>
      <c r="BX67" s="321" t="s">
        <v>955</v>
      </c>
      <c r="BY67" s="342" t="s">
        <v>783</v>
      </c>
      <c r="BZ67" s="331"/>
      <c r="CA67" s="331"/>
      <c r="CB67" s="326"/>
      <c r="CC67" s="331"/>
    </row>
    <row r="68" spans="1:82" s="1" customFormat="1" ht="30" x14ac:dyDescent="0.25">
      <c r="A68" s="104">
        <v>42534</v>
      </c>
      <c r="B68" s="112" t="s">
        <v>14</v>
      </c>
      <c r="C68" s="112" t="s">
        <v>719</v>
      </c>
      <c r="D68" s="112" t="s">
        <v>720</v>
      </c>
      <c r="E68" s="113" t="s">
        <v>697</v>
      </c>
      <c r="F68" s="89" t="s">
        <v>721</v>
      </c>
      <c r="G68" s="41" t="s">
        <v>722</v>
      </c>
      <c r="H68" s="90" t="s">
        <v>723</v>
      </c>
      <c r="I68" s="300"/>
      <c r="J68" s="300"/>
      <c r="K68" s="27"/>
      <c r="L68" s="28"/>
      <c r="M68" s="28"/>
      <c r="N68" s="28"/>
      <c r="O68" s="35"/>
      <c r="P68" s="35"/>
      <c r="Q68" s="35"/>
      <c r="R68" s="35"/>
      <c r="S68" s="35"/>
      <c r="T68" s="35"/>
      <c r="U68" s="27"/>
      <c r="V68" s="34"/>
      <c r="W68" s="27"/>
      <c r="X68" s="34"/>
      <c r="Y68" s="32"/>
      <c r="Z68" s="34"/>
      <c r="AA68" s="27"/>
      <c r="AB68" s="83"/>
      <c r="AC68" s="300"/>
      <c r="AD68" s="41"/>
      <c r="AE68" s="300" t="s">
        <v>724</v>
      </c>
      <c r="AF68" s="300"/>
      <c r="AG68" s="300"/>
      <c r="AH68" s="300"/>
      <c r="AI68" s="300"/>
      <c r="AJ68" s="300" t="s">
        <v>725</v>
      </c>
      <c r="AK68" s="300"/>
      <c r="AL68" s="32" t="s">
        <v>726</v>
      </c>
      <c r="AM68" s="300" t="s">
        <v>727</v>
      </c>
      <c r="AN68" s="300" t="s">
        <v>728</v>
      </c>
      <c r="AO68" s="300"/>
      <c r="AP68" s="300" t="s">
        <v>729</v>
      </c>
      <c r="AQ68" s="83" t="s">
        <v>730</v>
      </c>
      <c r="AR68" s="85">
        <v>11.79</v>
      </c>
      <c r="AS68" s="48"/>
      <c r="AT68" s="111"/>
      <c r="AU68" s="111"/>
      <c r="AV68" s="111"/>
      <c r="AW68" s="302"/>
      <c r="AX68" s="303" t="s">
        <v>731</v>
      </c>
      <c r="AY68" s="303" t="s">
        <v>732</v>
      </c>
      <c r="AZ68" s="304">
        <v>9.2100000000000009</v>
      </c>
      <c r="BA68" s="304">
        <v>8.0299999999999994</v>
      </c>
      <c r="BB68" s="304">
        <v>1.73</v>
      </c>
      <c r="BC68" s="305"/>
      <c r="BD68" s="305"/>
      <c r="BE68" s="306">
        <v>0.3</v>
      </c>
      <c r="BF68" s="307">
        <v>8.5359999999999996</v>
      </c>
      <c r="BG68" s="307">
        <v>2.4060000000000001</v>
      </c>
      <c r="BH68" s="308">
        <v>10.691999999999998</v>
      </c>
      <c r="BI68" s="308">
        <v>0.12707649899999998</v>
      </c>
      <c r="BJ68" s="306">
        <v>0.2</v>
      </c>
      <c r="BK68" s="309">
        <v>12.25</v>
      </c>
      <c r="BL68" s="309">
        <v>10.25</v>
      </c>
      <c r="BM68" s="309">
        <v>8.25</v>
      </c>
      <c r="BN68" s="308">
        <v>0.59947374131944442</v>
      </c>
      <c r="BO68" s="310">
        <v>0.59</v>
      </c>
      <c r="BP68" s="310"/>
      <c r="BQ68" s="310"/>
      <c r="BR68" s="268" t="s">
        <v>733</v>
      </c>
      <c r="BS68" s="83">
        <v>3</v>
      </c>
      <c r="BT68" s="83">
        <v>12</v>
      </c>
      <c r="BU68" s="83">
        <v>5</v>
      </c>
      <c r="BV68" s="215">
        <v>180</v>
      </c>
      <c r="BW68" s="311">
        <v>175.39999999999998</v>
      </c>
      <c r="BX68" s="215" t="s">
        <v>734</v>
      </c>
      <c r="BY68" s="158" t="s">
        <v>735</v>
      </c>
      <c r="BZ68" s="79"/>
      <c r="CA68" s="79"/>
      <c r="CB68" s="79"/>
    </row>
    <row r="69" spans="1:82" s="1" customFormat="1" x14ac:dyDescent="0.25">
      <c r="A69" s="104">
        <v>42534</v>
      </c>
      <c r="B69" s="112" t="s">
        <v>14</v>
      </c>
      <c r="C69" s="112" t="s">
        <v>736</v>
      </c>
      <c r="D69" s="112" t="s">
        <v>720</v>
      </c>
      <c r="E69" s="112" t="s">
        <v>737</v>
      </c>
      <c r="F69" s="89" t="s">
        <v>738</v>
      </c>
      <c r="G69" s="83" t="s">
        <v>739</v>
      </c>
      <c r="H69" s="32" t="s">
        <v>740</v>
      </c>
      <c r="I69" s="300"/>
      <c r="J69" s="300"/>
      <c r="K69" s="27"/>
      <c r="L69" s="28"/>
      <c r="M69" s="28"/>
      <c r="N69" s="28"/>
      <c r="O69" s="35"/>
      <c r="P69" s="35"/>
      <c r="Q69" s="35"/>
      <c r="R69" s="35"/>
      <c r="S69" s="35"/>
      <c r="T69" s="35"/>
      <c r="U69" s="27"/>
      <c r="V69" s="34"/>
      <c r="W69" s="27"/>
      <c r="X69" s="34"/>
      <c r="Y69" s="32"/>
      <c r="Z69" s="34"/>
      <c r="AA69" s="27"/>
      <c r="AB69" s="83"/>
      <c r="AC69" s="83"/>
      <c r="AD69" s="41"/>
      <c r="AE69" s="300"/>
      <c r="AF69" s="300"/>
      <c r="AG69" s="300"/>
      <c r="AH69" s="300"/>
      <c r="AI69" s="300"/>
      <c r="AJ69" s="300"/>
      <c r="AK69" s="300"/>
      <c r="AL69" s="83"/>
      <c r="AM69" s="300"/>
      <c r="AN69" s="300"/>
      <c r="AO69" s="300"/>
      <c r="AP69" s="300"/>
      <c r="AQ69" s="83">
        <v>49525</v>
      </c>
      <c r="AR69" s="85">
        <v>20.29</v>
      </c>
      <c r="AS69" s="48"/>
      <c r="AT69" s="111"/>
      <c r="AU69" s="111"/>
      <c r="AV69" s="111"/>
      <c r="AW69" s="312"/>
      <c r="AX69" s="303" t="s">
        <v>741</v>
      </c>
      <c r="AY69" s="303" t="s">
        <v>742</v>
      </c>
      <c r="AZ69" s="304">
        <v>9.02</v>
      </c>
      <c r="BA69" s="304">
        <v>7.87</v>
      </c>
      <c r="BB69" s="304">
        <v>1.18</v>
      </c>
      <c r="BC69" s="305"/>
      <c r="BD69" s="305"/>
      <c r="BE69" s="306">
        <v>0.13</v>
      </c>
      <c r="BF69" s="308">
        <v>8.9659999999999993</v>
      </c>
      <c r="BG69" s="308">
        <v>1.3460000000000001</v>
      </c>
      <c r="BH69" s="308">
        <v>9.8219999999999992</v>
      </c>
      <c r="BI69" s="308">
        <v>6.8596188652777779E-2</v>
      </c>
      <c r="BJ69" s="306">
        <v>0.12</v>
      </c>
      <c r="BK69" s="309">
        <v>10.5</v>
      </c>
      <c r="BL69" s="309">
        <v>8.75</v>
      </c>
      <c r="BM69" s="309">
        <v>9.75</v>
      </c>
      <c r="BN69" s="308">
        <v>0.51839192708333337</v>
      </c>
      <c r="BO69" s="310">
        <v>0.28000000000000003</v>
      </c>
      <c r="BP69" s="310"/>
      <c r="BQ69" s="310"/>
      <c r="BR69" s="268" t="s">
        <v>733</v>
      </c>
      <c r="BS69" s="83">
        <v>6</v>
      </c>
      <c r="BT69" s="83">
        <v>18</v>
      </c>
      <c r="BU69" s="83">
        <v>4</v>
      </c>
      <c r="BV69" s="215">
        <v>432</v>
      </c>
      <c r="BW69" s="311">
        <v>178.16</v>
      </c>
      <c r="BX69" s="215" t="s">
        <v>743</v>
      </c>
      <c r="BY69" s="158" t="s">
        <v>744</v>
      </c>
      <c r="BZ69" s="79"/>
      <c r="CA69" s="79"/>
      <c r="CB69" s="79"/>
      <c r="CC69" s="79"/>
      <c r="CD69" s="79"/>
    </row>
    <row r="70" spans="1:82" s="1" customFormat="1" ht="30" x14ac:dyDescent="0.25">
      <c r="A70" s="104">
        <v>42534</v>
      </c>
      <c r="B70" s="112" t="s">
        <v>14</v>
      </c>
      <c r="C70" s="112" t="s">
        <v>745</v>
      </c>
      <c r="D70" s="112" t="s">
        <v>746</v>
      </c>
      <c r="E70" s="112" t="s">
        <v>737</v>
      </c>
      <c r="F70" s="47" t="s">
        <v>747</v>
      </c>
      <c r="G70" s="47" t="s">
        <v>748</v>
      </c>
      <c r="H70" s="41">
        <v>13503677</v>
      </c>
      <c r="I70" s="300" t="s">
        <v>749</v>
      </c>
      <c r="J70" s="300" t="s">
        <v>750</v>
      </c>
      <c r="K70" s="27"/>
      <c r="L70" s="28"/>
      <c r="M70" s="28"/>
      <c r="N70" s="28"/>
      <c r="O70" s="35"/>
      <c r="P70" s="35"/>
      <c r="Q70" s="35"/>
      <c r="R70" s="35"/>
      <c r="S70" s="35"/>
      <c r="T70" s="35"/>
      <c r="U70" s="27"/>
      <c r="V70" s="34"/>
      <c r="W70" s="27"/>
      <c r="X70" s="34"/>
      <c r="Y70" s="32"/>
      <c r="Z70" s="34"/>
      <c r="AA70" s="27"/>
      <c r="AB70" s="83" t="s">
        <v>751</v>
      </c>
      <c r="AC70" s="300"/>
      <c r="AD70" s="41"/>
      <c r="AE70" s="300"/>
      <c r="AF70" s="300"/>
      <c r="AG70" s="300"/>
      <c r="AH70" s="300"/>
      <c r="AI70" s="300"/>
      <c r="AJ70" s="83"/>
      <c r="AK70" s="300"/>
      <c r="AL70" s="83" t="s">
        <v>752</v>
      </c>
      <c r="AM70" s="300" t="s">
        <v>753</v>
      </c>
      <c r="AN70" s="300" t="s">
        <v>754</v>
      </c>
      <c r="AO70" s="300" t="s">
        <v>755</v>
      </c>
      <c r="AP70" s="300" t="s">
        <v>756</v>
      </c>
      <c r="AQ70" s="83">
        <v>24191</v>
      </c>
      <c r="AR70" s="85">
        <v>17.54</v>
      </c>
      <c r="AS70" s="48"/>
      <c r="AT70" s="111"/>
      <c r="AU70" s="111"/>
      <c r="AV70" s="111"/>
      <c r="AW70" s="312"/>
      <c r="AX70" s="303" t="s">
        <v>757</v>
      </c>
      <c r="AY70" s="303" t="s">
        <v>758</v>
      </c>
      <c r="AZ70" s="304">
        <v>9.4499999999999993</v>
      </c>
      <c r="BA70" s="304">
        <v>8.0299999999999994</v>
      </c>
      <c r="BB70" s="304">
        <v>1.38</v>
      </c>
      <c r="BC70" s="305"/>
      <c r="BD70" s="305"/>
      <c r="BE70" s="306">
        <v>0.25</v>
      </c>
      <c r="BF70" s="307">
        <v>9.2859999999999996</v>
      </c>
      <c r="BG70" s="307">
        <v>1.8160000000000001</v>
      </c>
      <c r="BH70" s="308">
        <v>9.7319999999999993</v>
      </c>
      <c r="BI70" s="308">
        <v>9.4973596777777766E-2</v>
      </c>
      <c r="BJ70" s="306">
        <v>0.12</v>
      </c>
      <c r="BK70" s="309">
        <v>10.5</v>
      </c>
      <c r="BL70" s="309">
        <v>10</v>
      </c>
      <c r="BM70" s="309">
        <v>6.25</v>
      </c>
      <c r="BN70" s="308">
        <v>0.37977430555555558</v>
      </c>
      <c r="BO70" s="310">
        <v>0.42</v>
      </c>
      <c r="BP70" s="310"/>
      <c r="BQ70" s="310"/>
      <c r="BR70" s="268" t="s">
        <v>733</v>
      </c>
      <c r="BS70" s="83">
        <v>3</v>
      </c>
      <c r="BT70" s="83">
        <v>16</v>
      </c>
      <c r="BU70" s="83">
        <v>7</v>
      </c>
      <c r="BV70" s="215">
        <v>336</v>
      </c>
      <c r="BW70" s="311">
        <v>221.35999999999999</v>
      </c>
      <c r="BX70" s="215" t="s">
        <v>743</v>
      </c>
      <c r="BY70" s="158" t="s">
        <v>744</v>
      </c>
      <c r="BZ70" s="79"/>
      <c r="CA70" s="79"/>
      <c r="CB70" s="36"/>
    </row>
    <row r="71" spans="1:82" s="1" customFormat="1" x14ac:dyDescent="0.25">
      <c r="A71" s="104">
        <v>42534</v>
      </c>
      <c r="B71" s="112" t="s">
        <v>14</v>
      </c>
      <c r="C71" s="112" t="s">
        <v>759</v>
      </c>
      <c r="D71" s="112" t="s">
        <v>746</v>
      </c>
      <c r="E71" s="112" t="s">
        <v>737</v>
      </c>
      <c r="F71" s="47" t="s">
        <v>760</v>
      </c>
      <c r="G71" s="47" t="s">
        <v>748</v>
      </c>
      <c r="H71" s="41">
        <v>22743911</v>
      </c>
      <c r="I71" s="300" t="s">
        <v>749</v>
      </c>
      <c r="J71" s="300" t="s">
        <v>761</v>
      </c>
      <c r="K71" s="27"/>
      <c r="L71" s="28"/>
      <c r="M71" s="28"/>
      <c r="N71" s="28"/>
      <c r="O71" s="35"/>
      <c r="P71" s="35"/>
      <c r="Q71" s="35"/>
      <c r="R71" s="35"/>
      <c r="S71" s="35"/>
      <c r="T71" s="35"/>
      <c r="U71" s="27" t="s">
        <v>762</v>
      </c>
      <c r="V71" s="34"/>
      <c r="W71" s="27"/>
      <c r="X71" s="34"/>
      <c r="Y71" s="32"/>
      <c r="Z71" s="34"/>
      <c r="AA71" s="27"/>
      <c r="AB71" s="83"/>
      <c r="AC71" s="26"/>
      <c r="AD71" s="41"/>
      <c r="AE71" s="300"/>
      <c r="AF71" s="300"/>
      <c r="AG71" s="300"/>
      <c r="AH71" s="300"/>
      <c r="AI71" s="300"/>
      <c r="AJ71" s="300"/>
      <c r="AK71" s="300"/>
      <c r="AL71" s="26"/>
      <c r="AM71" s="300" t="s">
        <v>759</v>
      </c>
      <c r="AN71" s="300"/>
      <c r="AO71" s="300"/>
      <c r="AP71" s="300" t="s">
        <v>763</v>
      </c>
      <c r="AQ71" s="83" t="s">
        <v>764</v>
      </c>
      <c r="AR71" s="85">
        <v>20.03</v>
      </c>
      <c r="AS71" s="48"/>
      <c r="AT71" s="111"/>
      <c r="AU71" s="111"/>
      <c r="AV71" s="111"/>
      <c r="AW71" s="312"/>
      <c r="AX71" s="303" t="s">
        <v>765</v>
      </c>
      <c r="AY71" s="303" t="s">
        <v>766</v>
      </c>
      <c r="AZ71" s="304">
        <v>9.4499999999999993</v>
      </c>
      <c r="BA71" s="304">
        <v>7.99</v>
      </c>
      <c r="BB71" s="304">
        <v>1.18</v>
      </c>
      <c r="BC71" s="305"/>
      <c r="BD71" s="305"/>
      <c r="BE71" s="306">
        <v>0.25</v>
      </c>
      <c r="BF71" s="307">
        <v>8.9659999999999993</v>
      </c>
      <c r="BG71" s="307">
        <v>1.3460000000000001</v>
      </c>
      <c r="BH71" s="308">
        <v>9.8219999999999992</v>
      </c>
      <c r="BI71" s="308">
        <v>6.8596188652777779E-2</v>
      </c>
      <c r="BJ71" s="306">
        <v>0.12</v>
      </c>
      <c r="BK71" s="309">
        <v>10.5</v>
      </c>
      <c r="BL71" s="309">
        <v>8.75</v>
      </c>
      <c r="BM71" s="309">
        <v>9.75</v>
      </c>
      <c r="BN71" s="308">
        <v>0.51839192708333337</v>
      </c>
      <c r="BO71" s="310">
        <v>0.28000000000000003</v>
      </c>
      <c r="BP71" s="310"/>
      <c r="BQ71" s="310"/>
      <c r="BR71" s="268" t="s">
        <v>733</v>
      </c>
      <c r="BS71" s="83">
        <v>6</v>
      </c>
      <c r="BT71" s="83">
        <v>18</v>
      </c>
      <c r="BU71" s="83">
        <v>4</v>
      </c>
      <c r="BV71" s="215">
        <v>432</v>
      </c>
      <c r="BW71" s="311">
        <v>230</v>
      </c>
      <c r="BX71" s="215" t="s">
        <v>743</v>
      </c>
      <c r="BY71" s="158" t="s">
        <v>744</v>
      </c>
      <c r="BZ71" s="79"/>
      <c r="CA71" s="79"/>
      <c r="CB71" s="36"/>
      <c r="CC71" s="79"/>
    </row>
    <row r="72" spans="1:82" s="1" customFormat="1" x14ac:dyDescent="0.25">
      <c r="A72" s="104">
        <v>42534</v>
      </c>
      <c r="B72" s="112" t="s">
        <v>14</v>
      </c>
      <c r="C72" s="112" t="s">
        <v>767</v>
      </c>
      <c r="D72" s="112" t="s">
        <v>746</v>
      </c>
      <c r="E72" s="112" t="s">
        <v>737</v>
      </c>
      <c r="F72" s="89" t="s">
        <v>768</v>
      </c>
      <c r="G72" s="41" t="s">
        <v>769</v>
      </c>
      <c r="H72" s="90">
        <v>64119237555</v>
      </c>
      <c r="I72" s="300"/>
      <c r="J72" s="300"/>
      <c r="K72" s="27"/>
      <c r="L72" s="28"/>
      <c r="M72" s="28"/>
      <c r="N72" s="28"/>
      <c r="O72" s="35"/>
      <c r="P72" s="35"/>
      <c r="Q72" s="35"/>
      <c r="R72" s="35"/>
      <c r="S72" s="35"/>
      <c r="T72" s="35"/>
      <c r="U72" s="27"/>
      <c r="V72" s="34"/>
      <c r="W72" s="27" t="s">
        <v>770</v>
      </c>
      <c r="X72" s="34"/>
      <c r="Y72" s="32"/>
      <c r="Z72" s="34"/>
      <c r="AA72" s="27"/>
      <c r="AB72" s="83"/>
      <c r="AC72" s="300"/>
      <c r="AD72" s="41"/>
      <c r="AE72" s="300"/>
      <c r="AF72" s="300" t="s">
        <v>771</v>
      </c>
      <c r="AG72" s="300"/>
      <c r="AH72" s="300" t="s">
        <v>772</v>
      </c>
      <c r="AI72" s="300"/>
      <c r="AJ72" s="300"/>
      <c r="AK72" s="300">
        <v>4255</v>
      </c>
      <c r="AL72" s="32"/>
      <c r="AM72" s="300"/>
      <c r="AN72" s="300"/>
      <c r="AO72" s="300"/>
      <c r="AP72" s="300"/>
      <c r="AQ72" s="83">
        <v>24255</v>
      </c>
      <c r="AR72" s="85">
        <v>36.79</v>
      </c>
      <c r="AS72" s="48"/>
      <c r="AT72" s="111"/>
      <c r="AU72" s="111"/>
      <c r="AV72" s="111"/>
      <c r="AW72" s="312"/>
      <c r="AX72" s="303" t="s">
        <v>773</v>
      </c>
      <c r="AY72" s="303" t="s">
        <v>774</v>
      </c>
      <c r="AZ72" s="304">
        <v>9.69</v>
      </c>
      <c r="BA72" s="304">
        <v>7.8</v>
      </c>
      <c r="BB72" s="304">
        <v>1.61</v>
      </c>
      <c r="BC72" s="305"/>
      <c r="BD72" s="305"/>
      <c r="BE72" s="306">
        <v>0.3</v>
      </c>
      <c r="BF72" s="307">
        <v>8.5359999999999996</v>
      </c>
      <c r="BG72" s="307">
        <v>2.4060000000000001</v>
      </c>
      <c r="BH72" s="308">
        <v>10.691999999999998</v>
      </c>
      <c r="BI72" s="308">
        <v>0.12707649899999998</v>
      </c>
      <c r="BJ72" s="306">
        <v>0.2</v>
      </c>
      <c r="BK72" s="309">
        <v>15</v>
      </c>
      <c r="BL72" s="309">
        <v>11.25</v>
      </c>
      <c r="BM72" s="309">
        <v>9.3800000000000008</v>
      </c>
      <c r="BN72" s="308">
        <v>0.916015625</v>
      </c>
      <c r="BO72" s="310">
        <v>0.78</v>
      </c>
      <c r="BP72" s="310"/>
      <c r="BQ72" s="310"/>
      <c r="BR72" s="268" t="s">
        <v>733</v>
      </c>
      <c r="BS72" s="83">
        <v>6</v>
      </c>
      <c r="BT72" s="83">
        <v>10</v>
      </c>
      <c r="BU72" s="83">
        <v>4</v>
      </c>
      <c r="BV72" s="215">
        <v>240</v>
      </c>
      <c r="BW72" s="311">
        <v>201.20000000000002</v>
      </c>
      <c r="BX72" s="215" t="s">
        <v>743</v>
      </c>
      <c r="BY72" s="158" t="s">
        <v>744</v>
      </c>
      <c r="BZ72" s="79"/>
      <c r="CA72" s="79"/>
      <c r="CB72" s="36"/>
      <c r="CC72" s="79"/>
    </row>
    <row r="73" spans="1:82" s="1" customFormat="1" x14ac:dyDescent="0.25">
      <c r="A73" s="104">
        <v>42534</v>
      </c>
      <c r="B73" s="112" t="s">
        <v>14</v>
      </c>
      <c r="C73" s="112" t="s">
        <v>775</v>
      </c>
      <c r="D73" s="112" t="s">
        <v>746</v>
      </c>
      <c r="E73" s="112" t="s">
        <v>718</v>
      </c>
      <c r="F73" s="89" t="s">
        <v>776</v>
      </c>
      <c r="G73" s="47" t="s">
        <v>777</v>
      </c>
      <c r="H73" s="41">
        <v>2781800009</v>
      </c>
      <c r="I73" s="300"/>
      <c r="J73" s="300"/>
      <c r="K73" s="27"/>
      <c r="L73" s="28"/>
      <c r="M73" s="28"/>
      <c r="N73" s="28"/>
      <c r="O73" s="35"/>
      <c r="P73" s="35"/>
      <c r="Q73" s="35"/>
      <c r="R73" s="35"/>
      <c r="S73" s="35"/>
      <c r="T73" s="35"/>
      <c r="U73" s="27"/>
      <c r="V73" s="34"/>
      <c r="W73" s="27"/>
      <c r="X73" s="34"/>
      <c r="Y73" s="32"/>
      <c r="Z73" s="34"/>
      <c r="AA73" s="27"/>
      <c r="AB73" s="83"/>
      <c r="AC73" s="300"/>
      <c r="AD73" s="41"/>
      <c r="AE73" s="300"/>
      <c r="AF73" s="300"/>
      <c r="AG73" s="300"/>
      <c r="AH73" s="300"/>
      <c r="AI73" s="300"/>
      <c r="AJ73" s="300"/>
      <c r="AK73" s="300"/>
      <c r="AL73" s="32"/>
      <c r="AM73" s="300" t="s">
        <v>778</v>
      </c>
      <c r="AN73" s="300" t="s">
        <v>779</v>
      </c>
      <c r="AO73" s="300"/>
      <c r="AP73" s="300" t="s">
        <v>779</v>
      </c>
      <c r="AQ73" s="83"/>
      <c r="AR73" s="85">
        <v>15.16</v>
      </c>
      <c r="AS73" s="48"/>
      <c r="AT73" s="111"/>
      <c r="AU73" s="111"/>
      <c r="AV73" s="111"/>
      <c r="AW73" s="312"/>
      <c r="AX73" s="303" t="s">
        <v>780</v>
      </c>
      <c r="AY73" s="303" t="s">
        <v>781</v>
      </c>
      <c r="AZ73" s="313"/>
      <c r="BA73" s="313"/>
      <c r="BB73" s="313"/>
      <c r="BC73" s="301">
        <v>2.2639999999999998</v>
      </c>
      <c r="BD73" s="301">
        <v>5.7869999999999999</v>
      </c>
      <c r="BE73" s="306">
        <v>0.08</v>
      </c>
      <c r="BF73" s="308">
        <v>2.5950000000000002</v>
      </c>
      <c r="BG73" s="308">
        <v>2.5950000000000002</v>
      </c>
      <c r="BH73" s="308">
        <v>6.0949999999999998</v>
      </c>
      <c r="BI73" s="308">
        <v>2.3752246744791667E-2</v>
      </c>
      <c r="BJ73" s="306">
        <v>0.05</v>
      </c>
      <c r="BK73" s="309">
        <v>10.879</v>
      </c>
      <c r="BL73" s="309">
        <v>8.5169999999999995</v>
      </c>
      <c r="BM73" s="309">
        <v>6.7990000000000004</v>
      </c>
      <c r="BN73" s="308">
        <v>0.36456664117881943</v>
      </c>
      <c r="BO73" s="314">
        <v>0.15</v>
      </c>
      <c r="BP73" s="314"/>
      <c r="BQ73" s="314"/>
      <c r="BR73" s="268" t="s">
        <v>733</v>
      </c>
      <c r="BS73" s="83">
        <v>12</v>
      </c>
      <c r="BT73" s="83">
        <v>19</v>
      </c>
      <c r="BU73" s="83">
        <v>7</v>
      </c>
      <c r="BV73" s="215">
        <v>1596</v>
      </c>
      <c r="BW73" s="311">
        <v>277.43</v>
      </c>
      <c r="BX73" s="215" t="s">
        <v>782</v>
      </c>
      <c r="BY73" s="158" t="s">
        <v>783</v>
      </c>
      <c r="BZ73" s="79"/>
      <c r="CA73" s="79"/>
      <c r="CB73" s="36"/>
      <c r="CC73" s="79"/>
    </row>
    <row r="74" spans="1:82" s="1" customFormat="1" ht="30" x14ac:dyDescent="0.25">
      <c r="A74" s="104">
        <v>42482</v>
      </c>
      <c r="B74" s="82" t="s">
        <v>14</v>
      </c>
      <c r="C74" s="82" t="s">
        <v>787</v>
      </c>
      <c r="D74" s="82" t="s">
        <v>60</v>
      </c>
      <c r="E74" s="17" t="s">
        <v>718</v>
      </c>
      <c r="F74" s="89" t="s">
        <v>788</v>
      </c>
      <c r="G74" s="41" t="s">
        <v>789</v>
      </c>
      <c r="H74" s="90">
        <v>47135704</v>
      </c>
      <c r="I74" s="109" t="s">
        <v>790</v>
      </c>
      <c r="J74" s="109">
        <v>47135703</v>
      </c>
      <c r="K74" s="27"/>
      <c r="L74" s="28"/>
      <c r="M74" s="28"/>
      <c r="N74" s="28"/>
      <c r="O74" s="35"/>
      <c r="P74" s="35"/>
      <c r="Q74" s="35"/>
      <c r="R74" s="35"/>
      <c r="S74" s="35"/>
      <c r="T74" s="35"/>
      <c r="U74" s="27" t="s">
        <v>791</v>
      </c>
      <c r="V74" s="34"/>
      <c r="W74" s="27"/>
      <c r="X74" s="34"/>
      <c r="Y74" s="32" t="s">
        <v>792</v>
      </c>
      <c r="Z74" s="34"/>
      <c r="AA74" s="27" t="s">
        <v>793</v>
      </c>
      <c r="AB74" s="83" t="s">
        <v>794</v>
      </c>
      <c r="AC74" s="109"/>
      <c r="AD74" s="41"/>
      <c r="AE74" s="109"/>
      <c r="AF74" s="109"/>
      <c r="AG74" s="109"/>
      <c r="AH74" s="109"/>
      <c r="AI74" s="109"/>
      <c r="AJ74" s="109"/>
      <c r="AK74" s="109"/>
      <c r="AL74" s="32"/>
      <c r="AM74" s="109"/>
      <c r="AN74" s="109"/>
      <c r="AO74" s="109"/>
      <c r="AP74" s="109"/>
      <c r="AQ74" s="83">
        <v>57075</v>
      </c>
      <c r="AR74" s="48">
        <v>15.73</v>
      </c>
      <c r="AS74" s="48">
        <v>0.5</v>
      </c>
      <c r="AT74" s="111">
        <v>0.55000000000000004</v>
      </c>
      <c r="AU74" s="111">
        <v>0.35</v>
      </c>
      <c r="AV74" s="111">
        <v>0.38</v>
      </c>
      <c r="AW74" s="107"/>
      <c r="AX74" s="143" t="s">
        <v>795</v>
      </c>
      <c r="AY74" s="143" t="s">
        <v>796</v>
      </c>
      <c r="AZ74" s="37"/>
      <c r="BA74" s="37"/>
      <c r="BB74" s="37"/>
      <c r="BC74" s="108">
        <v>4.2125984251968509</v>
      </c>
      <c r="BD74" s="108">
        <v>4.1535433070866148</v>
      </c>
      <c r="BE74" s="144"/>
      <c r="BF74" s="145">
        <v>4.4659999999999993</v>
      </c>
      <c r="BG74" s="145">
        <v>4.4659999999999993</v>
      </c>
      <c r="BH74" s="145">
        <v>4.8220000000000001</v>
      </c>
      <c r="BI74" s="145">
        <v>5.5657142495370356E-2</v>
      </c>
      <c r="BJ74" s="145">
        <v>1.3180000000000001</v>
      </c>
      <c r="BK74" s="145">
        <v>14</v>
      </c>
      <c r="BL74" s="145">
        <v>9.5</v>
      </c>
      <c r="BM74" s="145">
        <v>5.37</v>
      </c>
      <c r="BN74" s="145">
        <v>0.41331597222222222</v>
      </c>
      <c r="BO74" s="145">
        <v>7.9080000000000004</v>
      </c>
      <c r="BP74" s="145"/>
      <c r="BQ74" s="145"/>
      <c r="BR74" s="146" t="s">
        <v>797</v>
      </c>
      <c r="BS74" s="147">
        <v>6</v>
      </c>
      <c r="BT74" s="147">
        <v>13</v>
      </c>
      <c r="BU74" s="147">
        <v>8</v>
      </c>
      <c r="BV74" s="29">
        <v>624</v>
      </c>
      <c r="BW74" s="29">
        <v>872.43200000000002</v>
      </c>
      <c r="BX74" s="147" t="s">
        <v>798</v>
      </c>
      <c r="BY74" s="88" t="s">
        <v>799</v>
      </c>
      <c r="BZ74" s="79"/>
      <c r="CA74" s="79"/>
      <c r="CB74" s="79"/>
    </row>
    <row r="75" spans="1:82" s="1" customFormat="1" x14ac:dyDescent="0.25">
      <c r="A75" s="104">
        <v>42482</v>
      </c>
      <c r="B75" s="82" t="s">
        <v>14</v>
      </c>
      <c r="C75" s="82" t="s">
        <v>800</v>
      </c>
      <c r="D75" s="82" t="s">
        <v>60</v>
      </c>
      <c r="E75" s="82" t="s">
        <v>65</v>
      </c>
      <c r="F75" s="89" t="s">
        <v>801</v>
      </c>
      <c r="G75" s="83" t="s">
        <v>802</v>
      </c>
      <c r="H75" s="32" t="s">
        <v>803</v>
      </c>
      <c r="I75" s="109"/>
      <c r="J75" s="109"/>
      <c r="K75" s="27"/>
      <c r="L75" s="28"/>
      <c r="M75" s="28"/>
      <c r="N75" s="28"/>
      <c r="O75" s="35"/>
      <c r="P75" s="35"/>
      <c r="Q75" s="35"/>
      <c r="R75" s="35"/>
      <c r="S75" s="35"/>
      <c r="T75" s="35"/>
      <c r="U75" s="27" t="s">
        <v>804</v>
      </c>
      <c r="V75" s="34"/>
      <c r="W75" s="27"/>
      <c r="X75" s="34"/>
      <c r="Y75" s="32" t="s">
        <v>805</v>
      </c>
      <c r="Z75" s="34"/>
      <c r="AA75" s="27"/>
      <c r="AB75" s="83"/>
      <c r="AC75" s="83"/>
      <c r="AD75" s="41"/>
      <c r="AE75" s="109"/>
      <c r="AF75" s="109"/>
      <c r="AG75" s="109"/>
      <c r="AH75" s="109"/>
      <c r="AI75" s="109"/>
      <c r="AJ75" s="109"/>
      <c r="AK75" s="109"/>
      <c r="AL75" s="83"/>
      <c r="AM75" s="109"/>
      <c r="AN75" s="109"/>
      <c r="AO75" s="109"/>
      <c r="AP75" s="109"/>
      <c r="AQ75" s="83"/>
      <c r="AR75" s="148">
        <v>11.204829039293758</v>
      </c>
      <c r="AS75" s="48">
        <v>0.5</v>
      </c>
      <c r="AT75" s="111">
        <v>0.55000000000000004</v>
      </c>
      <c r="AU75" s="111">
        <v>0.35</v>
      </c>
      <c r="AV75" s="111">
        <v>0.38</v>
      </c>
      <c r="AW75" s="106"/>
      <c r="AX75" s="149" t="s">
        <v>806</v>
      </c>
      <c r="AY75" s="143" t="s">
        <v>807</v>
      </c>
      <c r="AZ75" s="110"/>
      <c r="BA75" s="110"/>
      <c r="BB75" s="110"/>
      <c r="BC75" s="108">
        <v>2.9921259842519685</v>
      </c>
      <c r="BD75" s="108">
        <v>2.1653543307086616</v>
      </c>
      <c r="BE75" s="86">
        <v>0.62992125984251968</v>
      </c>
      <c r="BF75" s="150"/>
      <c r="BG75" s="150"/>
      <c r="BH75" s="150"/>
      <c r="BI75" s="151"/>
      <c r="BJ75" s="152">
        <v>0.42499999999999999</v>
      </c>
      <c r="BK75" s="153">
        <v>10</v>
      </c>
      <c r="BL75" s="153">
        <v>6.75</v>
      </c>
      <c r="BM75" s="153">
        <v>3.75</v>
      </c>
      <c r="BN75" s="145">
        <v>0.146484375</v>
      </c>
      <c r="BO75" s="145">
        <v>2.5499999999999998</v>
      </c>
      <c r="BP75" s="145"/>
      <c r="BQ75" s="145"/>
      <c r="BR75" s="146" t="s">
        <v>797</v>
      </c>
      <c r="BS75" s="81">
        <v>6</v>
      </c>
      <c r="BT75" s="81">
        <v>26</v>
      </c>
      <c r="BU75" s="81">
        <v>10</v>
      </c>
      <c r="BV75" s="29">
        <v>1560</v>
      </c>
      <c r="BW75" s="29">
        <v>713</v>
      </c>
      <c r="BX75" s="81" t="s">
        <v>798</v>
      </c>
      <c r="BY75" s="154" t="s">
        <v>799</v>
      </c>
      <c r="BZ75" s="79"/>
      <c r="CA75" s="79"/>
      <c r="CB75" s="79"/>
      <c r="CC75" s="79"/>
      <c r="CD75" s="79"/>
    </row>
    <row r="76" spans="1:82" s="1" customFormat="1" x14ac:dyDescent="0.25">
      <c r="A76" s="104">
        <v>42482</v>
      </c>
      <c r="B76" s="81" t="s">
        <v>14</v>
      </c>
      <c r="C76" s="81" t="s">
        <v>808</v>
      </c>
      <c r="D76" s="82" t="s">
        <v>60</v>
      </c>
      <c r="E76" s="82" t="s">
        <v>65</v>
      </c>
      <c r="F76" s="47" t="s">
        <v>809</v>
      </c>
      <c r="G76" s="47" t="s">
        <v>810</v>
      </c>
      <c r="H76" s="41" t="s">
        <v>811</v>
      </c>
      <c r="I76" s="109"/>
      <c r="J76" s="109"/>
      <c r="K76" s="27"/>
      <c r="L76" s="28"/>
      <c r="M76" s="28"/>
      <c r="N76" s="28"/>
      <c r="O76" s="35"/>
      <c r="P76" s="35"/>
      <c r="Q76" s="35"/>
      <c r="R76" s="35"/>
      <c r="S76" s="35"/>
      <c r="T76" s="35"/>
      <c r="U76" s="27" t="s">
        <v>812</v>
      </c>
      <c r="V76" s="34"/>
      <c r="W76" s="27"/>
      <c r="X76" s="34"/>
      <c r="Y76" s="32"/>
      <c r="Z76" s="34"/>
      <c r="AA76" s="27"/>
      <c r="AB76" s="83"/>
      <c r="AC76" s="109"/>
      <c r="AD76" s="41"/>
      <c r="AE76" s="109"/>
      <c r="AF76" s="109"/>
      <c r="AG76" s="109"/>
      <c r="AH76" s="109"/>
      <c r="AI76" s="109"/>
      <c r="AJ76" s="83"/>
      <c r="AK76" s="109"/>
      <c r="AL76" s="83"/>
      <c r="AM76" s="109"/>
      <c r="AN76" s="109"/>
      <c r="AO76" s="109"/>
      <c r="AP76" s="109"/>
      <c r="AQ76" s="83">
        <v>33745</v>
      </c>
      <c r="AR76" s="148">
        <v>20.117856214797889</v>
      </c>
      <c r="AS76" s="48">
        <v>0.5</v>
      </c>
      <c r="AT76" s="111">
        <v>0.55000000000000004</v>
      </c>
      <c r="AU76" s="111">
        <v>0.35</v>
      </c>
      <c r="AV76" s="111">
        <v>0.38</v>
      </c>
      <c r="AW76" s="106"/>
      <c r="AX76" s="155" t="s">
        <v>813</v>
      </c>
      <c r="AY76" s="143" t="s">
        <v>814</v>
      </c>
      <c r="AZ76" s="110"/>
      <c r="BA76" s="110"/>
      <c r="BB76" s="110"/>
      <c r="BC76" s="108">
        <v>3.7007874015748032</v>
      </c>
      <c r="BD76" s="108">
        <v>3.7795275590551185</v>
      </c>
      <c r="BE76" s="87">
        <v>0.9055118110236221</v>
      </c>
      <c r="BF76" s="156"/>
      <c r="BG76" s="156"/>
      <c r="BH76" s="156"/>
      <c r="BI76" s="151"/>
      <c r="BJ76" s="152">
        <v>0.42499999999999999</v>
      </c>
      <c r="BK76" s="153">
        <v>11.93</v>
      </c>
      <c r="BL76" s="153">
        <v>8</v>
      </c>
      <c r="BM76" s="153">
        <v>4.62</v>
      </c>
      <c r="BN76" s="145">
        <v>0.25516944444444445</v>
      </c>
      <c r="BO76" s="145">
        <v>2.5499999999999998</v>
      </c>
      <c r="BP76" s="145"/>
      <c r="BQ76" s="145"/>
      <c r="BR76" s="146" t="s">
        <v>797</v>
      </c>
      <c r="BS76" s="81">
        <v>6</v>
      </c>
      <c r="BT76" s="81">
        <v>20</v>
      </c>
      <c r="BU76" s="81">
        <v>9</v>
      </c>
      <c r="BV76" s="29">
        <v>1080</v>
      </c>
      <c r="BW76" s="29">
        <v>509</v>
      </c>
      <c r="BX76" s="29" t="s">
        <v>798</v>
      </c>
      <c r="BY76" s="154" t="s">
        <v>799</v>
      </c>
      <c r="BZ76" s="79"/>
      <c r="CA76" s="79"/>
      <c r="CB76" s="36"/>
    </row>
    <row r="77" spans="1:82" s="1" customFormat="1" x14ac:dyDescent="0.25">
      <c r="A77" s="104">
        <v>42482</v>
      </c>
      <c r="B77" s="81" t="s">
        <v>14</v>
      </c>
      <c r="C77" s="81" t="s">
        <v>815</v>
      </c>
      <c r="D77" s="82" t="s">
        <v>60</v>
      </c>
      <c r="E77" s="82" t="s">
        <v>65</v>
      </c>
      <c r="F77" s="47" t="s">
        <v>816</v>
      </c>
      <c r="G77" s="47" t="s">
        <v>810</v>
      </c>
      <c r="H77" s="41">
        <v>3006265011</v>
      </c>
      <c r="I77" s="109"/>
      <c r="J77" s="109"/>
      <c r="K77" s="27"/>
      <c r="L77" s="28"/>
      <c r="M77" s="28"/>
      <c r="N77" s="28"/>
      <c r="O77" s="35"/>
      <c r="P77" s="35"/>
      <c r="Q77" s="35"/>
      <c r="R77" s="35"/>
      <c r="S77" s="35"/>
      <c r="T77" s="35"/>
      <c r="U77" s="27" t="s">
        <v>817</v>
      </c>
      <c r="V77" s="34"/>
      <c r="W77" s="27"/>
      <c r="X77" s="34"/>
      <c r="Y77" s="32" t="s">
        <v>818</v>
      </c>
      <c r="Z77" s="34"/>
      <c r="AA77" s="27" t="s">
        <v>819</v>
      </c>
      <c r="AB77" s="83"/>
      <c r="AC77" s="26"/>
      <c r="AD77" s="41"/>
      <c r="AE77" s="109"/>
      <c r="AF77" s="109"/>
      <c r="AG77" s="109"/>
      <c r="AH77" s="109"/>
      <c r="AI77" s="109"/>
      <c r="AJ77" s="109"/>
      <c r="AK77" s="109"/>
      <c r="AL77" s="26"/>
      <c r="AM77" s="109"/>
      <c r="AN77" s="109"/>
      <c r="AO77" s="109"/>
      <c r="AP77" s="109"/>
      <c r="AQ77" s="83"/>
      <c r="AR77" s="148">
        <v>17.267161688270438</v>
      </c>
      <c r="AS77" s="48">
        <v>0.5</v>
      </c>
      <c r="AT77" s="111">
        <v>0.55000000000000004</v>
      </c>
      <c r="AU77" s="111">
        <v>0.35</v>
      </c>
      <c r="AV77" s="111">
        <v>0.38</v>
      </c>
      <c r="AW77" s="106"/>
      <c r="AX77" s="155" t="s">
        <v>820</v>
      </c>
      <c r="AY77" s="143" t="s">
        <v>821</v>
      </c>
      <c r="AZ77" s="110"/>
      <c r="BA77" s="110"/>
      <c r="BB77" s="110"/>
      <c r="BC77" s="108">
        <v>3.6220472440944884</v>
      </c>
      <c r="BD77" s="108">
        <v>5.6299212598425203</v>
      </c>
      <c r="BE77" s="87">
        <v>0.59055118110236227</v>
      </c>
      <c r="BF77" s="156"/>
      <c r="BG77" s="156"/>
      <c r="BH77" s="156"/>
      <c r="BI77" s="151"/>
      <c r="BJ77" s="152">
        <v>0.42499999999999999</v>
      </c>
      <c r="BK77" s="153">
        <v>11.936999999999999</v>
      </c>
      <c r="BL77" s="153">
        <v>8</v>
      </c>
      <c r="BM77" s="153">
        <v>6.375</v>
      </c>
      <c r="BN77" s="145">
        <v>0.35230729166666663</v>
      </c>
      <c r="BO77" s="145">
        <v>2.5499999999999998</v>
      </c>
      <c r="BP77" s="145"/>
      <c r="BQ77" s="145"/>
      <c r="BR77" s="146" t="s">
        <v>797</v>
      </c>
      <c r="BS77" s="81">
        <v>6</v>
      </c>
      <c r="BT77" s="81">
        <v>20</v>
      </c>
      <c r="BU77" s="81">
        <v>7</v>
      </c>
      <c r="BV77" s="29">
        <v>840</v>
      </c>
      <c r="BW77" s="29">
        <v>407</v>
      </c>
      <c r="BX77" s="29" t="s">
        <v>798</v>
      </c>
      <c r="BY77" s="154" t="s">
        <v>799</v>
      </c>
      <c r="BZ77" s="79"/>
      <c r="CA77" s="79"/>
      <c r="CB77" s="36"/>
      <c r="CC77" s="79"/>
    </row>
    <row r="78" spans="1:82" s="1" customFormat="1" ht="45" x14ac:dyDescent="0.25">
      <c r="A78" s="104">
        <v>42482</v>
      </c>
      <c r="B78" s="82" t="s">
        <v>14</v>
      </c>
      <c r="C78" s="82" t="s">
        <v>822</v>
      </c>
      <c r="D78" s="82" t="s">
        <v>60</v>
      </c>
      <c r="E78" s="82" t="s">
        <v>65</v>
      </c>
      <c r="F78" s="89" t="s">
        <v>823</v>
      </c>
      <c r="G78" s="41" t="s">
        <v>802</v>
      </c>
      <c r="H78" s="90" t="s">
        <v>824</v>
      </c>
      <c r="I78" s="109" t="s">
        <v>825</v>
      </c>
      <c r="J78" s="109">
        <v>4411637</v>
      </c>
      <c r="K78" s="27" t="s">
        <v>826</v>
      </c>
      <c r="L78" s="28" t="s">
        <v>824</v>
      </c>
      <c r="M78" s="28"/>
      <c r="N78" s="28"/>
      <c r="O78" s="35"/>
      <c r="P78" s="35"/>
      <c r="Q78" s="35"/>
      <c r="R78" s="35"/>
      <c r="S78" s="35"/>
      <c r="T78" s="35"/>
      <c r="U78" s="27" t="s">
        <v>827</v>
      </c>
      <c r="V78" s="34"/>
      <c r="W78" s="27"/>
      <c r="X78" s="34"/>
      <c r="Y78" s="32"/>
      <c r="Z78" s="34"/>
      <c r="AA78" s="27"/>
      <c r="AB78" s="83"/>
      <c r="AC78" s="109"/>
      <c r="AD78" s="41"/>
      <c r="AE78" s="109"/>
      <c r="AF78" s="109"/>
      <c r="AG78" s="109"/>
      <c r="AH78" s="109"/>
      <c r="AI78" s="109"/>
      <c r="AJ78" s="109"/>
      <c r="AK78" s="109"/>
      <c r="AL78" s="32"/>
      <c r="AM78" s="109"/>
      <c r="AN78" s="109"/>
      <c r="AO78" s="109"/>
      <c r="AP78" s="109"/>
      <c r="AQ78" s="83"/>
      <c r="AR78" s="148">
        <v>17.855897094548091</v>
      </c>
      <c r="AS78" s="48">
        <v>0.5</v>
      </c>
      <c r="AT78" s="111">
        <v>0.55000000000000004</v>
      </c>
      <c r="AU78" s="111">
        <v>0.35</v>
      </c>
      <c r="AV78" s="111">
        <v>0.38</v>
      </c>
      <c r="AW78" s="106"/>
      <c r="AX78" s="155" t="s">
        <v>828</v>
      </c>
      <c r="AY78" s="143" t="s">
        <v>829</v>
      </c>
      <c r="AZ78" s="110"/>
      <c r="BA78" s="110"/>
      <c r="BB78" s="110"/>
      <c r="BC78" s="108">
        <v>2.7952755905511815</v>
      </c>
      <c r="BD78" s="108">
        <v>4.7637795275590555</v>
      </c>
      <c r="BE78" s="86">
        <v>0.78740157480314965</v>
      </c>
      <c r="BF78" s="151"/>
      <c r="BG78" s="151"/>
      <c r="BH78" s="151"/>
      <c r="BI78" s="151"/>
      <c r="BJ78" s="152">
        <v>0.42499999999999999</v>
      </c>
      <c r="BK78" s="153">
        <v>10</v>
      </c>
      <c r="BL78" s="153">
        <v>6.75</v>
      </c>
      <c r="BM78" s="153">
        <v>5.5</v>
      </c>
      <c r="BN78" s="157">
        <v>0.21484375</v>
      </c>
      <c r="BO78" s="157">
        <v>2.5499999999999998</v>
      </c>
      <c r="BP78" s="362"/>
      <c r="BQ78" s="362"/>
      <c r="BR78" s="146" t="s">
        <v>797</v>
      </c>
      <c r="BS78" s="81">
        <v>6</v>
      </c>
      <c r="BT78" s="81">
        <v>26</v>
      </c>
      <c r="BU78" s="81">
        <v>8</v>
      </c>
      <c r="BV78" s="29">
        <v>1248</v>
      </c>
      <c r="BW78" s="29">
        <v>580.4</v>
      </c>
      <c r="BX78" s="29" t="s">
        <v>798</v>
      </c>
      <c r="BY78" s="158" t="s">
        <v>799</v>
      </c>
      <c r="BZ78" s="79"/>
      <c r="CA78" s="79"/>
      <c r="CB78" s="36"/>
      <c r="CC78" s="79"/>
    </row>
    <row r="79" spans="1:82" s="1" customFormat="1" x14ac:dyDescent="0.25">
      <c r="A79" s="104">
        <v>42482</v>
      </c>
      <c r="B79" s="147" t="s">
        <v>14</v>
      </c>
      <c r="C79" s="82" t="s">
        <v>830</v>
      </c>
      <c r="D79" s="82" t="s">
        <v>60</v>
      </c>
      <c r="E79" s="82" t="s">
        <v>65</v>
      </c>
      <c r="F79" s="105" t="s">
        <v>831</v>
      </c>
      <c r="G79" s="47" t="s">
        <v>810</v>
      </c>
      <c r="H79" s="41" t="s">
        <v>832</v>
      </c>
      <c r="I79" s="109"/>
      <c r="J79" s="109"/>
      <c r="K79" s="27"/>
      <c r="L79" s="28"/>
      <c r="M79" s="28"/>
      <c r="N79" s="28"/>
      <c r="O79" s="35"/>
      <c r="P79" s="35"/>
      <c r="Q79" s="35"/>
      <c r="R79" s="35"/>
      <c r="S79" s="35"/>
      <c r="T79" s="35"/>
      <c r="U79" s="27" t="s">
        <v>833</v>
      </c>
      <c r="V79" s="34"/>
      <c r="W79" s="27"/>
      <c r="X79" s="34"/>
      <c r="Y79" s="32" t="s">
        <v>834</v>
      </c>
      <c r="Z79" s="34"/>
      <c r="AA79" s="27" t="s">
        <v>835</v>
      </c>
      <c r="AB79" s="83"/>
      <c r="AC79" s="109"/>
      <c r="AD79" s="41"/>
      <c r="AE79" s="109"/>
      <c r="AF79" s="109"/>
      <c r="AG79" s="109"/>
      <c r="AH79" s="109"/>
      <c r="AI79" s="109"/>
      <c r="AJ79" s="109"/>
      <c r="AK79" s="109"/>
      <c r="AL79" s="32"/>
      <c r="AM79" s="109"/>
      <c r="AN79" s="109"/>
      <c r="AO79" s="109"/>
      <c r="AP79" s="109"/>
      <c r="AQ79" s="83"/>
      <c r="AR79" s="148">
        <v>14.692304057152677</v>
      </c>
      <c r="AS79" s="48">
        <v>0.5</v>
      </c>
      <c r="AT79" s="111">
        <v>0.55000000000000004</v>
      </c>
      <c r="AU79" s="111">
        <v>0.35</v>
      </c>
      <c r="AV79" s="111">
        <v>0.38</v>
      </c>
      <c r="AW79" s="106"/>
      <c r="AX79" s="155" t="s">
        <v>836</v>
      </c>
      <c r="AY79" s="143" t="s">
        <v>837</v>
      </c>
      <c r="AZ79" s="110"/>
      <c r="BA79" s="110"/>
      <c r="BB79" s="110"/>
      <c r="BC79" s="108">
        <v>3.7401574803149606</v>
      </c>
      <c r="BD79" s="108">
        <v>3.8582677165354333</v>
      </c>
      <c r="BE79" s="86">
        <v>1.0629921259842521</v>
      </c>
      <c r="BF79" s="151"/>
      <c r="BG79" s="151"/>
      <c r="BH79" s="151"/>
      <c r="BI79" s="151"/>
      <c r="BJ79" s="152">
        <v>0.42499999999999999</v>
      </c>
      <c r="BK79" s="153">
        <v>11.93</v>
      </c>
      <c r="BL79" s="153">
        <v>8</v>
      </c>
      <c r="BM79" s="153">
        <v>4.62</v>
      </c>
      <c r="BN79" s="157">
        <v>0.25516944444444445</v>
      </c>
      <c r="BO79" s="157">
        <v>2.5499999999999998</v>
      </c>
      <c r="BP79" s="362"/>
      <c r="BQ79" s="362"/>
      <c r="BR79" s="146" t="s">
        <v>797</v>
      </c>
      <c r="BS79" s="29">
        <v>6</v>
      </c>
      <c r="BT79" s="29">
        <v>20</v>
      </c>
      <c r="BU79" s="29">
        <v>9</v>
      </c>
      <c r="BV79" s="29">
        <v>1080</v>
      </c>
      <c r="BW79" s="29">
        <v>509</v>
      </c>
      <c r="BX79" s="29" t="s">
        <v>798</v>
      </c>
      <c r="BY79" s="158" t="s">
        <v>799</v>
      </c>
      <c r="BZ79" s="79"/>
      <c r="CA79" s="79"/>
      <c r="CB79" s="36"/>
      <c r="CC79" s="79"/>
    </row>
    <row r="80" spans="1:82" s="1" customFormat="1" ht="30" x14ac:dyDescent="0.25">
      <c r="A80" s="104">
        <v>42482</v>
      </c>
      <c r="B80" s="82" t="s">
        <v>14</v>
      </c>
      <c r="C80" s="82" t="s">
        <v>838</v>
      </c>
      <c r="D80" s="82" t="s">
        <v>60</v>
      </c>
      <c r="E80" s="82" t="s">
        <v>698</v>
      </c>
      <c r="F80" s="89" t="s">
        <v>839</v>
      </c>
      <c r="G80" s="41" t="s">
        <v>840</v>
      </c>
      <c r="H80" s="90" t="s">
        <v>841</v>
      </c>
      <c r="I80" s="109"/>
      <c r="J80" s="109"/>
      <c r="K80" s="27"/>
      <c r="L80" s="28"/>
      <c r="M80" s="28"/>
      <c r="N80" s="28"/>
      <c r="O80" s="35"/>
      <c r="P80" s="35"/>
      <c r="Q80" s="35"/>
      <c r="R80" s="35"/>
      <c r="S80" s="35"/>
      <c r="T80" s="35"/>
      <c r="U80" s="27" t="s">
        <v>842</v>
      </c>
      <c r="V80" s="34"/>
      <c r="W80" s="27"/>
      <c r="X80" s="34"/>
      <c r="Y80" s="32" t="s">
        <v>843</v>
      </c>
      <c r="Z80" s="34"/>
      <c r="AA80" s="27"/>
      <c r="AB80" s="83"/>
      <c r="AC80" s="109"/>
      <c r="AD80" s="41"/>
      <c r="AE80" s="109"/>
      <c r="AF80" s="109"/>
      <c r="AG80" s="109"/>
      <c r="AH80" s="109"/>
      <c r="AI80" s="109"/>
      <c r="AJ80" s="109"/>
      <c r="AK80" s="109"/>
      <c r="AL80" s="32"/>
      <c r="AM80" s="109"/>
      <c r="AN80" s="109"/>
      <c r="AO80" s="109"/>
      <c r="AP80" s="109"/>
      <c r="AQ80" s="83"/>
      <c r="AR80" s="159">
        <v>105.7838293302447</v>
      </c>
      <c r="AS80" s="48">
        <v>0.5</v>
      </c>
      <c r="AT80" s="111">
        <v>0.55000000000000004</v>
      </c>
      <c r="AU80" s="111">
        <v>0.35</v>
      </c>
      <c r="AV80" s="111">
        <v>0.38</v>
      </c>
      <c r="AW80" s="106"/>
      <c r="AX80" s="149" t="s">
        <v>844</v>
      </c>
      <c r="AY80" s="143" t="s">
        <v>845</v>
      </c>
      <c r="AZ80" s="110"/>
      <c r="BA80" s="110"/>
      <c r="BB80" s="110"/>
      <c r="BC80" s="108">
        <v>2.8346456692913389</v>
      </c>
      <c r="BD80" s="108">
        <v>11.811023622047244</v>
      </c>
      <c r="BE80" s="144"/>
      <c r="BF80" s="153">
        <v>3.625</v>
      </c>
      <c r="BG80" s="153">
        <v>3.625</v>
      </c>
      <c r="BH80" s="153">
        <v>15.25</v>
      </c>
      <c r="BI80" s="157">
        <v>0.11596905743634259</v>
      </c>
      <c r="BJ80" s="152">
        <v>1.1000000000000001</v>
      </c>
      <c r="BK80" s="464" t="s">
        <v>846</v>
      </c>
      <c r="BL80" s="465"/>
      <c r="BM80" s="465"/>
      <c r="BN80" s="465"/>
      <c r="BO80" s="466"/>
      <c r="BP80" s="367"/>
      <c r="BQ80" s="367"/>
      <c r="BR80" s="146" t="s">
        <v>797</v>
      </c>
      <c r="BS80" s="81">
        <v>1</v>
      </c>
      <c r="BT80" s="81">
        <v>143</v>
      </c>
      <c r="BU80" s="81">
        <v>2</v>
      </c>
      <c r="BV80" s="29">
        <v>286</v>
      </c>
      <c r="BW80" s="29">
        <v>364.6</v>
      </c>
      <c r="BX80" s="29" t="s">
        <v>847</v>
      </c>
      <c r="BY80" s="158" t="s">
        <v>848</v>
      </c>
      <c r="BZ80" s="79"/>
      <c r="CA80" s="79"/>
      <c r="CB80" s="36"/>
    </row>
    <row r="81" spans="1:82" s="1" customFormat="1" x14ac:dyDescent="0.25">
      <c r="A81" s="104">
        <v>42482</v>
      </c>
      <c r="B81" s="147" t="s">
        <v>14</v>
      </c>
      <c r="C81" s="82" t="s">
        <v>849</v>
      </c>
      <c r="D81" s="82" t="s">
        <v>60</v>
      </c>
      <c r="E81" s="82" t="s">
        <v>698</v>
      </c>
      <c r="F81" s="89" t="s">
        <v>850</v>
      </c>
      <c r="G81" s="41" t="s">
        <v>851</v>
      </c>
      <c r="H81" s="90" t="s">
        <v>852</v>
      </c>
      <c r="I81" s="109"/>
      <c r="J81" s="109"/>
      <c r="K81" s="27"/>
      <c r="L81" s="28"/>
      <c r="M81" s="28"/>
      <c r="N81" s="28"/>
      <c r="O81" s="35"/>
      <c r="P81" s="35"/>
      <c r="Q81" s="35"/>
      <c r="R81" s="35"/>
      <c r="S81" s="35"/>
      <c r="T81" s="35"/>
      <c r="U81" s="27" t="s">
        <v>853</v>
      </c>
      <c r="V81" s="34"/>
      <c r="W81" s="27"/>
      <c r="X81" s="34"/>
      <c r="Y81" s="32" t="s">
        <v>854</v>
      </c>
      <c r="Z81" s="34"/>
      <c r="AA81" s="27"/>
      <c r="AB81" s="83"/>
      <c r="AC81" s="109"/>
      <c r="AD81" s="41"/>
      <c r="AE81" s="109"/>
      <c r="AF81" s="109"/>
      <c r="AG81" s="109"/>
      <c r="AH81" s="109"/>
      <c r="AI81" s="109"/>
      <c r="AJ81" s="109"/>
      <c r="AK81" s="109"/>
      <c r="AL81" s="32"/>
      <c r="AM81" s="109"/>
      <c r="AN81" s="109"/>
      <c r="AO81" s="109"/>
      <c r="AP81" s="109"/>
      <c r="AQ81" s="83" t="s">
        <v>855</v>
      </c>
      <c r="AR81" s="159">
        <v>132.85383914312325</v>
      </c>
      <c r="AS81" s="48">
        <v>0.5</v>
      </c>
      <c r="AT81" s="111">
        <v>0.55000000000000004</v>
      </c>
      <c r="AU81" s="111">
        <v>0.35</v>
      </c>
      <c r="AV81" s="111">
        <v>0.38</v>
      </c>
      <c r="AW81" s="106"/>
      <c r="AX81" s="155" t="s">
        <v>856</v>
      </c>
      <c r="AY81" s="143" t="s">
        <v>857</v>
      </c>
      <c r="AZ81" s="110"/>
      <c r="BA81" s="110"/>
      <c r="BB81" s="110"/>
      <c r="BC81" s="108">
        <v>3.8976377952755907</v>
      </c>
      <c r="BD81" s="108">
        <v>8.2677165354330722</v>
      </c>
      <c r="BE81" s="86">
        <v>1.5748031496062993</v>
      </c>
      <c r="BF81" s="153">
        <v>4.125</v>
      </c>
      <c r="BG81" s="153">
        <v>4.125</v>
      </c>
      <c r="BH81" s="153">
        <v>10.25</v>
      </c>
      <c r="BI81" s="145">
        <v>0.10093180338541667</v>
      </c>
      <c r="BJ81" s="152">
        <v>1.6</v>
      </c>
      <c r="BK81" s="464" t="s">
        <v>846</v>
      </c>
      <c r="BL81" s="465"/>
      <c r="BM81" s="465"/>
      <c r="BN81" s="465"/>
      <c r="BO81" s="466"/>
      <c r="BP81" s="367"/>
      <c r="BQ81" s="367"/>
      <c r="BR81" s="146" t="s">
        <v>797</v>
      </c>
      <c r="BS81" s="81">
        <v>1</v>
      </c>
      <c r="BT81" s="81">
        <v>120</v>
      </c>
      <c r="BU81" s="81">
        <v>4</v>
      </c>
      <c r="BV81" s="29">
        <v>480</v>
      </c>
      <c r="BW81" s="29">
        <v>818</v>
      </c>
      <c r="BX81" s="81" t="s">
        <v>847</v>
      </c>
      <c r="BY81" s="158" t="s">
        <v>848</v>
      </c>
      <c r="BZ81" s="79"/>
      <c r="CA81" s="79"/>
      <c r="CB81" s="36"/>
    </row>
    <row r="82" spans="1:82" s="1" customFormat="1" x14ac:dyDescent="0.25">
      <c r="A82" s="104">
        <v>42482</v>
      </c>
      <c r="B82" s="147" t="s">
        <v>14</v>
      </c>
      <c r="C82" s="81" t="s">
        <v>858</v>
      </c>
      <c r="D82" s="82" t="s">
        <v>60</v>
      </c>
      <c r="E82" s="82" t="s">
        <v>698</v>
      </c>
      <c r="F82" s="89" t="s">
        <v>859</v>
      </c>
      <c r="G82" s="41" t="s">
        <v>860</v>
      </c>
      <c r="H82" s="90">
        <v>1799806</v>
      </c>
      <c r="I82" s="109" t="s">
        <v>860</v>
      </c>
      <c r="J82" s="109">
        <v>2166676</v>
      </c>
      <c r="K82" s="27"/>
      <c r="L82" s="28"/>
      <c r="M82" s="28"/>
      <c r="N82" s="28"/>
      <c r="O82" s="35"/>
      <c r="P82" s="35"/>
      <c r="Q82" s="35"/>
      <c r="R82" s="35"/>
      <c r="S82" s="35"/>
      <c r="T82" s="35"/>
      <c r="U82" s="27" t="s">
        <v>861</v>
      </c>
      <c r="V82" s="34"/>
      <c r="W82" s="27"/>
      <c r="X82" s="34"/>
      <c r="Y82" s="32" t="s">
        <v>862</v>
      </c>
      <c r="Z82" s="34"/>
      <c r="AA82" s="27" t="s">
        <v>863</v>
      </c>
      <c r="AB82" s="83"/>
      <c r="AC82" s="109"/>
      <c r="AD82" s="41"/>
      <c r="AE82" s="109"/>
      <c r="AF82" s="109"/>
      <c r="AG82" s="109"/>
      <c r="AH82" s="109"/>
      <c r="AI82" s="109"/>
      <c r="AJ82" s="109"/>
      <c r="AK82" s="109"/>
      <c r="AL82" s="32"/>
      <c r="AM82" s="109"/>
      <c r="AN82" s="109"/>
      <c r="AO82" s="109"/>
      <c r="AP82" s="109"/>
      <c r="AQ82" s="83">
        <v>57896</v>
      </c>
      <c r="AR82" s="159">
        <v>206.41490387323563</v>
      </c>
      <c r="AS82" s="48">
        <v>0.5</v>
      </c>
      <c r="AT82" s="111">
        <v>0.55000000000000004</v>
      </c>
      <c r="AU82" s="111">
        <v>0.35</v>
      </c>
      <c r="AV82" s="111">
        <v>0.38</v>
      </c>
      <c r="AW82" s="106"/>
      <c r="AX82" s="149" t="s">
        <v>864</v>
      </c>
      <c r="AY82" s="143" t="s">
        <v>865</v>
      </c>
      <c r="AZ82" s="110"/>
      <c r="BA82" s="110"/>
      <c r="BB82" s="110"/>
      <c r="BC82" s="108">
        <v>5.5118110236220472</v>
      </c>
      <c r="BD82" s="108">
        <v>16.811023622047244</v>
      </c>
      <c r="BE82" s="160">
        <v>3.8582677165354333</v>
      </c>
      <c r="BF82" s="153">
        <v>6.3125</v>
      </c>
      <c r="BG82" s="153">
        <v>6.3125</v>
      </c>
      <c r="BH82" s="153">
        <v>18.625</v>
      </c>
      <c r="BI82" s="145">
        <v>0.42949224401403358</v>
      </c>
      <c r="BJ82" s="160">
        <v>6.4</v>
      </c>
      <c r="BK82" s="464" t="s">
        <v>846</v>
      </c>
      <c r="BL82" s="465"/>
      <c r="BM82" s="465"/>
      <c r="BN82" s="465"/>
      <c r="BO82" s="466"/>
      <c r="BP82" s="367"/>
      <c r="BQ82" s="367"/>
      <c r="BR82" s="146" t="s">
        <v>797</v>
      </c>
      <c r="BS82" s="81">
        <v>1</v>
      </c>
      <c r="BT82" s="81">
        <v>48</v>
      </c>
      <c r="BU82" s="81">
        <v>2</v>
      </c>
      <c r="BV82" s="29">
        <v>96</v>
      </c>
      <c r="BW82" s="29">
        <v>664.40000000000009</v>
      </c>
      <c r="BX82" s="29" t="s">
        <v>847</v>
      </c>
      <c r="BY82" s="158" t="s">
        <v>848</v>
      </c>
      <c r="BZ82" s="79"/>
      <c r="CA82" s="79"/>
      <c r="CB82" s="36"/>
    </row>
    <row r="83" spans="1:82" s="1" customFormat="1" x14ac:dyDescent="0.25">
      <c r="A83" s="104">
        <v>42395</v>
      </c>
      <c r="B83" s="82" t="s">
        <v>14</v>
      </c>
      <c r="C83" s="82" t="s">
        <v>866</v>
      </c>
      <c r="D83" s="82" t="s">
        <v>746</v>
      </c>
      <c r="E83" s="17" t="s">
        <v>867</v>
      </c>
      <c r="F83" s="89" t="s">
        <v>868</v>
      </c>
      <c r="G83" s="41" t="s">
        <v>869</v>
      </c>
      <c r="H83" s="90" t="s">
        <v>870</v>
      </c>
      <c r="I83" s="109"/>
      <c r="J83" s="109"/>
      <c r="K83" s="27"/>
      <c r="L83" s="28"/>
      <c r="M83" s="28"/>
      <c r="N83" s="28"/>
      <c r="O83" s="35"/>
      <c r="P83" s="35"/>
      <c r="Q83" s="35"/>
      <c r="R83" s="35"/>
      <c r="S83" s="35"/>
      <c r="T83" s="35"/>
      <c r="U83" s="27"/>
      <c r="V83" s="34"/>
      <c r="W83" s="27"/>
      <c r="X83" s="34"/>
      <c r="Y83" s="32"/>
      <c r="Z83" s="34"/>
      <c r="AA83" s="27"/>
      <c r="AB83" s="83" t="s">
        <v>871</v>
      </c>
      <c r="AC83" s="109"/>
      <c r="AD83" s="41"/>
      <c r="AE83" s="109"/>
      <c r="AF83" s="109"/>
      <c r="AG83" s="109"/>
      <c r="AH83" s="109"/>
      <c r="AI83" s="109" t="s">
        <v>866</v>
      </c>
      <c r="AJ83" s="109"/>
      <c r="AK83" s="109"/>
      <c r="AL83" s="32" t="s">
        <v>872</v>
      </c>
      <c r="AM83" s="109" t="s">
        <v>873</v>
      </c>
      <c r="AN83" s="109" t="s">
        <v>874</v>
      </c>
      <c r="AO83" s="109"/>
      <c r="AP83" s="109" t="s">
        <v>875</v>
      </c>
      <c r="AQ83" s="109">
        <v>49760</v>
      </c>
      <c r="AR83" s="148">
        <v>19.579999999999998</v>
      </c>
      <c r="AS83" s="161"/>
      <c r="AT83" s="162"/>
      <c r="AU83" s="162"/>
      <c r="AV83" s="162"/>
      <c r="AW83" s="107"/>
      <c r="AX83" s="143" t="s">
        <v>876</v>
      </c>
      <c r="AY83" s="143" t="s">
        <v>877</v>
      </c>
      <c r="AZ83" s="108">
        <v>12.2</v>
      </c>
      <c r="BA83" s="108">
        <v>7.34</v>
      </c>
      <c r="BB83" s="108">
        <v>2.0499999999999998</v>
      </c>
      <c r="BC83" s="108"/>
      <c r="BD83" s="108"/>
      <c r="BE83" s="152"/>
      <c r="BF83" s="163">
        <f>7.75+0.036</f>
        <v>7.7859999999999996</v>
      </c>
      <c r="BG83" s="163">
        <f>2.5+0.036</f>
        <v>2.536</v>
      </c>
      <c r="BH83" s="163">
        <f>12.75+0.072</f>
        <v>12.821999999999999</v>
      </c>
      <c r="BI83" s="157">
        <f>(BF83*BG83*BH83)/1728</f>
        <v>0.14651283872222221</v>
      </c>
      <c r="BJ83" s="160">
        <f>0.76+0.22</f>
        <v>0.98</v>
      </c>
      <c r="BK83" s="145">
        <f>15.38+0.25</f>
        <v>15.63</v>
      </c>
      <c r="BL83" s="145">
        <v>13.5</v>
      </c>
      <c r="BM83" s="145">
        <v>8.5</v>
      </c>
      <c r="BN83" s="145">
        <f>(BK83*BL83*BM83)/1728</f>
        <v>1.0379296875000001</v>
      </c>
      <c r="BO83" s="145">
        <v>0.92</v>
      </c>
      <c r="BP83" s="145"/>
      <c r="BQ83" s="145"/>
      <c r="BR83" s="146" t="s">
        <v>733</v>
      </c>
      <c r="BS83" s="147">
        <v>6</v>
      </c>
      <c r="BT83" s="147">
        <v>6</v>
      </c>
      <c r="BU83" s="147">
        <v>5</v>
      </c>
      <c r="BV83" s="29">
        <f t="shared" ref="BV83:BV111" si="27">BS83*BT83*BU83</f>
        <v>180</v>
      </c>
      <c r="BW83" s="29">
        <f>(((BJ83*BS83)+BO83)*BT83*BU83)+50</f>
        <v>254</v>
      </c>
      <c r="BX83" s="147" t="s">
        <v>734</v>
      </c>
      <c r="BY83" s="88" t="s">
        <v>735</v>
      </c>
      <c r="BZ83" s="79"/>
      <c r="CA83" s="79"/>
      <c r="CB83" s="79"/>
    </row>
    <row r="84" spans="1:82" s="1" customFormat="1" x14ac:dyDescent="0.25">
      <c r="A84" s="104">
        <v>42395</v>
      </c>
      <c r="B84" s="82" t="s">
        <v>14</v>
      </c>
      <c r="C84" s="82" t="s">
        <v>878</v>
      </c>
      <c r="D84" s="82" t="s">
        <v>746</v>
      </c>
      <c r="E84" s="82" t="s">
        <v>737</v>
      </c>
      <c r="F84" s="47" t="s">
        <v>879</v>
      </c>
      <c r="G84" s="26" t="s">
        <v>722</v>
      </c>
      <c r="H84" s="41" t="s">
        <v>880</v>
      </c>
      <c r="I84" s="109"/>
      <c r="J84" s="109"/>
      <c r="K84" s="27"/>
      <c r="L84" s="28"/>
      <c r="M84" s="28"/>
      <c r="N84" s="28"/>
      <c r="O84" s="35"/>
      <c r="P84" s="35"/>
      <c r="Q84" s="35"/>
      <c r="R84" s="35"/>
      <c r="S84" s="35"/>
      <c r="T84" s="35"/>
      <c r="U84" s="27"/>
      <c r="V84" s="34"/>
      <c r="W84" s="27"/>
      <c r="X84" s="34"/>
      <c r="Y84" s="32"/>
      <c r="Z84" s="34"/>
      <c r="AA84" s="27"/>
      <c r="AB84" s="26"/>
      <c r="AC84" s="26"/>
      <c r="AD84" s="41"/>
      <c r="AE84" s="109"/>
      <c r="AF84" s="109"/>
      <c r="AG84" s="109"/>
      <c r="AH84" s="109"/>
      <c r="AI84" s="109"/>
      <c r="AJ84" s="109"/>
      <c r="AK84" s="109"/>
      <c r="AL84" s="26"/>
      <c r="AM84" s="109"/>
      <c r="AN84" s="109"/>
      <c r="AO84" s="109"/>
      <c r="AP84" s="109"/>
      <c r="AQ84" s="164"/>
      <c r="AR84" s="148">
        <v>18.46</v>
      </c>
      <c r="AS84" s="148"/>
      <c r="AT84" s="165"/>
      <c r="AU84" s="165"/>
      <c r="AV84" s="165"/>
      <c r="AW84" s="106"/>
      <c r="AX84" s="114" t="s">
        <v>881</v>
      </c>
      <c r="AY84" s="114" t="s">
        <v>882</v>
      </c>
      <c r="AZ84" s="115">
        <v>9.4499999999999993</v>
      </c>
      <c r="BA84" s="115">
        <v>7.48</v>
      </c>
      <c r="BB84" s="115">
        <v>0.98</v>
      </c>
      <c r="BC84" s="37"/>
      <c r="BD84" s="37"/>
      <c r="BE84" s="86">
        <v>0.1</v>
      </c>
      <c r="BF84" s="166">
        <f>9.25+0.018+0.018</f>
        <v>9.2860000000000014</v>
      </c>
      <c r="BG84" s="147">
        <f>1.31+0.018+0.018</f>
        <v>1.3460000000000001</v>
      </c>
      <c r="BH84" s="147">
        <f>9.47+(0.018*4)</f>
        <v>9.5419999999999998</v>
      </c>
      <c r="BI84" s="157">
        <f t="shared" ref="BI84:BI111" si="28">(BH84*BG84*BF84)/1728</f>
        <v>6.9019119300925941E-2</v>
      </c>
      <c r="BJ84" s="152">
        <v>0.12</v>
      </c>
      <c r="BK84" s="153">
        <v>10.5</v>
      </c>
      <c r="BL84" s="153">
        <v>8.75</v>
      </c>
      <c r="BM84" s="153">
        <v>9.75</v>
      </c>
      <c r="BN84" s="157">
        <f t="shared" ref="BN84:BN98" si="29">(BM84*BL84*BK84)/1728</f>
        <v>0.51839192708333337</v>
      </c>
      <c r="BO84" s="167">
        <v>0.28000000000000003</v>
      </c>
      <c r="BP84" s="167"/>
      <c r="BQ84" s="167"/>
      <c r="BR84" s="116" t="s">
        <v>733</v>
      </c>
      <c r="BS84" s="81">
        <v>6</v>
      </c>
      <c r="BT84" s="81">
        <v>18</v>
      </c>
      <c r="BU84" s="81">
        <v>4</v>
      </c>
      <c r="BV84" s="29">
        <f t="shared" si="27"/>
        <v>432</v>
      </c>
      <c r="BW84" s="29">
        <f t="shared" ref="BW84:BW96" si="30">((((BE84+BJ84)*BS84)+BO84)*BT84*BU84)+50</f>
        <v>165.2</v>
      </c>
      <c r="BX84" s="81" t="s">
        <v>743</v>
      </c>
      <c r="BY84" s="154" t="s">
        <v>735</v>
      </c>
      <c r="BZ84" s="79"/>
      <c r="CA84" s="79"/>
      <c r="CB84" s="79"/>
      <c r="CC84" s="79"/>
      <c r="CD84" s="79"/>
    </row>
    <row r="85" spans="1:82" s="1" customFormat="1" x14ac:dyDescent="0.25">
      <c r="A85" s="104">
        <v>42395</v>
      </c>
      <c r="B85" s="82" t="s">
        <v>14</v>
      </c>
      <c r="C85" s="82" t="s">
        <v>883</v>
      </c>
      <c r="D85" s="82" t="s">
        <v>746</v>
      </c>
      <c r="E85" s="82" t="s">
        <v>737</v>
      </c>
      <c r="F85" s="89" t="s">
        <v>884</v>
      </c>
      <c r="G85" s="83" t="s">
        <v>49</v>
      </c>
      <c r="H85" s="32" t="s">
        <v>885</v>
      </c>
      <c r="I85" s="109"/>
      <c r="J85" s="109"/>
      <c r="K85" s="27"/>
      <c r="L85" s="28"/>
      <c r="M85" s="28"/>
      <c r="N85" s="28"/>
      <c r="O85" s="35"/>
      <c r="P85" s="35"/>
      <c r="Q85" s="35"/>
      <c r="R85" s="35"/>
      <c r="S85" s="35"/>
      <c r="T85" s="35"/>
      <c r="U85" s="27" t="s">
        <v>886</v>
      </c>
      <c r="V85" s="34"/>
      <c r="W85" s="27"/>
      <c r="X85" s="34"/>
      <c r="Y85" s="32"/>
      <c r="Z85" s="34"/>
      <c r="AA85" s="27"/>
      <c r="AB85" s="83"/>
      <c r="AC85" s="83"/>
      <c r="AD85" s="41"/>
      <c r="AE85" s="109"/>
      <c r="AF85" s="109"/>
      <c r="AG85" s="109"/>
      <c r="AH85" s="109"/>
      <c r="AI85" s="109"/>
      <c r="AJ85" s="109"/>
      <c r="AK85" s="109"/>
      <c r="AL85" s="83"/>
      <c r="AM85" s="109"/>
      <c r="AN85" s="109"/>
      <c r="AO85" s="109"/>
      <c r="AP85" s="109"/>
      <c r="AQ85" s="109" t="s">
        <v>887</v>
      </c>
      <c r="AR85" s="148">
        <v>11.93</v>
      </c>
      <c r="AS85" s="148"/>
      <c r="AT85" s="165"/>
      <c r="AU85" s="165"/>
      <c r="AV85" s="165"/>
      <c r="AW85" s="106"/>
      <c r="AX85" s="114" t="s">
        <v>888</v>
      </c>
      <c r="AY85" s="114" t="s">
        <v>889</v>
      </c>
      <c r="AZ85" s="115">
        <v>10.8</v>
      </c>
      <c r="BA85" s="115">
        <v>8.75</v>
      </c>
      <c r="BB85" s="115">
        <v>0.75</v>
      </c>
      <c r="BC85" s="37"/>
      <c r="BD85" s="37"/>
      <c r="BE85" s="86">
        <f>0.08</f>
        <v>0.08</v>
      </c>
      <c r="BF85" s="147">
        <f>9.46+0.036</f>
        <v>9.4960000000000004</v>
      </c>
      <c r="BG85" s="147">
        <f>1.156+0.036</f>
        <v>1.1919999999999999</v>
      </c>
      <c r="BH85" s="147">
        <f>10.843+0.072</f>
        <v>10.914999999999999</v>
      </c>
      <c r="BI85" s="157">
        <f t="shared" si="28"/>
        <v>7.1498505370370377E-2</v>
      </c>
      <c r="BJ85" s="152">
        <f>0.15</f>
        <v>0.15</v>
      </c>
      <c r="BK85" s="153">
        <v>11.25</v>
      </c>
      <c r="BL85" s="153">
        <v>8</v>
      </c>
      <c r="BM85" s="153">
        <v>11.5</v>
      </c>
      <c r="BN85" s="157">
        <f t="shared" si="29"/>
        <v>0.59895833333333337</v>
      </c>
      <c r="BO85" s="167">
        <v>0.53</v>
      </c>
      <c r="BP85" s="167"/>
      <c r="BQ85" s="167"/>
      <c r="BR85" s="116" t="s">
        <v>733</v>
      </c>
      <c r="BS85" s="81">
        <v>6</v>
      </c>
      <c r="BT85" s="81">
        <v>20</v>
      </c>
      <c r="BU85" s="81">
        <v>3</v>
      </c>
      <c r="BV85" s="29">
        <f t="shared" si="27"/>
        <v>360</v>
      </c>
      <c r="BW85" s="29">
        <f t="shared" si="30"/>
        <v>164.6</v>
      </c>
      <c r="BX85" s="81" t="s">
        <v>890</v>
      </c>
      <c r="BY85" s="154" t="s">
        <v>735</v>
      </c>
      <c r="BZ85" s="79"/>
      <c r="CA85" s="79"/>
      <c r="CB85" s="36"/>
    </row>
    <row r="86" spans="1:82" s="1" customFormat="1" x14ac:dyDescent="0.25">
      <c r="A86" s="104">
        <v>42395</v>
      </c>
      <c r="B86" s="81" t="s">
        <v>14</v>
      </c>
      <c r="C86" s="81" t="s">
        <v>891</v>
      </c>
      <c r="D86" s="82" t="s">
        <v>746</v>
      </c>
      <c r="E86" s="82" t="s">
        <v>737</v>
      </c>
      <c r="F86" s="47" t="s">
        <v>892</v>
      </c>
      <c r="G86" s="83" t="s">
        <v>748</v>
      </c>
      <c r="H86" s="41">
        <v>22808781</v>
      </c>
      <c r="I86" s="109"/>
      <c r="J86" s="109"/>
      <c r="K86" s="27"/>
      <c r="L86" s="28"/>
      <c r="M86" s="28"/>
      <c r="N86" s="28"/>
      <c r="O86" s="35"/>
      <c r="P86" s="35"/>
      <c r="Q86" s="35"/>
      <c r="R86" s="35"/>
      <c r="S86" s="35"/>
      <c r="T86" s="35"/>
      <c r="U86" s="27" t="s">
        <v>893</v>
      </c>
      <c r="V86" s="34"/>
      <c r="W86" s="27"/>
      <c r="X86" s="34"/>
      <c r="Y86" s="32"/>
      <c r="Z86" s="34"/>
      <c r="AA86" s="27"/>
      <c r="AB86" s="83"/>
      <c r="AC86" s="109"/>
      <c r="AD86" s="41"/>
      <c r="AE86" s="109"/>
      <c r="AF86" s="109"/>
      <c r="AG86" s="109"/>
      <c r="AH86" s="109"/>
      <c r="AI86" s="109"/>
      <c r="AJ86" s="83"/>
      <c r="AK86" s="109"/>
      <c r="AL86" s="83"/>
      <c r="AM86" s="109"/>
      <c r="AN86" s="109"/>
      <c r="AO86" s="109"/>
      <c r="AP86" s="109"/>
      <c r="AQ86" s="109" t="s">
        <v>894</v>
      </c>
      <c r="AR86" s="148">
        <v>19.510000000000002</v>
      </c>
      <c r="AS86" s="148"/>
      <c r="AT86" s="165"/>
      <c r="AU86" s="165"/>
      <c r="AV86" s="165"/>
      <c r="AW86" s="106"/>
      <c r="AX86" s="155" t="s">
        <v>895</v>
      </c>
      <c r="AY86" s="155" t="s">
        <v>896</v>
      </c>
      <c r="AZ86" s="115">
        <v>9.17</v>
      </c>
      <c r="BA86" s="115">
        <v>9.8000000000000007</v>
      </c>
      <c r="BB86" s="115">
        <v>1.18</v>
      </c>
      <c r="BC86" s="37"/>
      <c r="BD86" s="37"/>
      <c r="BE86" s="87">
        <f>0.35</f>
        <v>0.35</v>
      </c>
      <c r="BF86" s="163">
        <f>10.031+0.018+0.018</f>
        <v>10.067000000000002</v>
      </c>
      <c r="BG86" s="163">
        <f>1.61+0.018+0.018</f>
        <v>1.6460000000000001</v>
      </c>
      <c r="BH86" s="163">
        <f>10.625+(4*0.018)</f>
        <v>10.696999999999999</v>
      </c>
      <c r="BI86" s="157">
        <f t="shared" si="28"/>
        <v>0.10257656629282409</v>
      </c>
      <c r="BJ86" s="160">
        <f>0.15</f>
        <v>0.15</v>
      </c>
      <c r="BK86" s="163">
        <v>12</v>
      </c>
      <c r="BL86" s="163">
        <v>10.37</v>
      </c>
      <c r="BM86" s="163">
        <v>10.62</v>
      </c>
      <c r="BN86" s="157">
        <f t="shared" si="29"/>
        <v>0.76478749999999995</v>
      </c>
      <c r="BO86" s="167">
        <v>0.66</v>
      </c>
      <c r="BP86" s="167"/>
      <c r="BQ86" s="167"/>
      <c r="BR86" s="81" t="s">
        <v>733</v>
      </c>
      <c r="BS86" s="81">
        <v>6</v>
      </c>
      <c r="BT86" s="81">
        <v>12</v>
      </c>
      <c r="BU86" s="81">
        <v>4</v>
      </c>
      <c r="BV86" s="29">
        <f t="shared" si="27"/>
        <v>288</v>
      </c>
      <c r="BW86" s="29">
        <f t="shared" si="30"/>
        <v>225.68</v>
      </c>
      <c r="BX86" s="29" t="s">
        <v>743</v>
      </c>
      <c r="BY86" s="154" t="s">
        <v>744</v>
      </c>
      <c r="BZ86" s="79"/>
      <c r="CA86" s="79"/>
      <c r="CB86" s="36"/>
      <c r="CC86" s="79"/>
    </row>
    <row r="87" spans="1:82" s="1" customFormat="1" x14ac:dyDescent="0.25">
      <c r="A87" s="104">
        <v>42395</v>
      </c>
      <c r="B87" s="147" t="s">
        <v>14</v>
      </c>
      <c r="C87" s="82" t="s">
        <v>897</v>
      </c>
      <c r="D87" s="82" t="s">
        <v>746</v>
      </c>
      <c r="E87" s="82" t="s">
        <v>737</v>
      </c>
      <c r="F87" s="105" t="s">
        <v>898</v>
      </c>
      <c r="G87" s="41" t="s">
        <v>739</v>
      </c>
      <c r="H87" s="90" t="s">
        <v>740</v>
      </c>
      <c r="I87" s="109"/>
      <c r="J87" s="109"/>
      <c r="K87" s="27"/>
      <c r="L87" s="28"/>
      <c r="M87" s="28"/>
      <c r="N87" s="28"/>
      <c r="O87" s="35"/>
      <c r="P87" s="35"/>
      <c r="Q87" s="35"/>
      <c r="R87" s="35"/>
      <c r="S87" s="35"/>
      <c r="T87" s="35"/>
      <c r="U87" s="27"/>
      <c r="V87" s="34"/>
      <c r="W87" s="27"/>
      <c r="X87" s="34"/>
      <c r="Y87" s="32"/>
      <c r="Z87" s="34"/>
      <c r="AA87" s="27"/>
      <c r="AB87" s="83"/>
      <c r="AC87" s="109"/>
      <c r="AD87" s="41"/>
      <c r="AE87" s="109"/>
      <c r="AF87" s="109"/>
      <c r="AG87" s="109"/>
      <c r="AH87" s="109"/>
      <c r="AI87" s="109"/>
      <c r="AJ87" s="109"/>
      <c r="AK87" s="109"/>
      <c r="AL87" s="32"/>
      <c r="AM87" s="109"/>
      <c r="AN87" s="109"/>
      <c r="AO87" s="109"/>
      <c r="AP87" s="109"/>
      <c r="AQ87" s="109">
        <v>49525</v>
      </c>
      <c r="AR87" s="148">
        <v>25.14</v>
      </c>
      <c r="AS87" s="148"/>
      <c r="AT87" s="165"/>
      <c r="AU87" s="165"/>
      <c r="AV87" s="165"/>
      <c r="AW87" s="106"/>
      <c r="AX87" s="155" t="s">
        <v>899</v>
      </c>
      <c r="AY87" s="155" t="s">
        <v>900</v>
      </c>
      <c r="AZ87" s="115">
        <v>7.76</v>
      </c>
      <c r="BA87" s="115">
        <v>7.56</v>
      </c>
      <c r="BB87" s="115">
        <v>1.18</v>
      </c>
      <c r="BC87" s="37"/>
      <c r="BD87" s="37"/>
      <c r="BE87" s="86">
        <v>0.3</v>
      </c>
      <c r="BF87" s="157">
        <f>8.063+0.036</f>
        <v>8.0990000000000002</v>
      </c>
      <c r="BG87" s="157">
        <f>1.375+0.036</f>
        <v>1.411</v>
      </c>
      <c r="BH87" s="157">
        <f>9.063+0.072</f>
        <v>9.1349999999999998</v>
      </c>
      <c r="BI87" s="157">
        <f t="shared" si="28"/>
        <v>6.0412001744791673E-2</v>
      </c>
      <c r="BJ87" s="152">
        <v>0.12</v>
      </c>
      <c r="BK87" s="153">
        <v>11</v>
      </c>
      <c r="BL87" s="153">
        <v>9</v>
      </c>
      <c r="BM87" s="153">
        <v>9.25</v>
      </c>
      <c r="BN87" s="157">
        <f t="shared" si="29"/>
        <v>0.52994791666666663</v>
      </c>
      <c r="BO87" s="167">
        <v>0.51</v>
      </c>
      <c r="BP87" s="167"/>
      <c r="BQ87" s="167"/>
      <c r="BR87" s="116" t="s">
        <v>733</v>
      </c>
      <c r="BS87" s="29">
        <v>6</v>
      </c>
      <c r="BT87" s="29">
        <v>18</v>
      </c>
      <c r="BU87" s="29">
        <v>4</v>
      </c>
      <c r="BV87" s="29">
        <f t="shared" si="27"/>
        <v>432</v>
      </c>
      <c r="BW87" s="29">
        <f t="shared" si="30"/>
        <v>268.16000000000003</v>
      </c>
      <c r="BX87" s="29" t="s">
        <v>743</v>
      </c>
      <c r="BY87" s="158" t="s">
        <v>744</v>
      </c>
      <c r="BZ87" s="79"/>
      <c r="CA87" s="79"/>
      <c r="CB87" s="36"/>
      <c r="CC87" s="79"/>
    </row>
    <row r="88" spans="1:82" s="1" customFormat="1" x14ac:dyDescent="0.25">
      <c r="A88" s="104">
        <v>42395</v>
      </c>
      <c r="B88" s="82" t="s">
        <v>14</v>
      </c>
      <c r="C88" s="82" t="s">
        <v>901</v>
      </c>
      <c r="D88" s="82" t="s">
        <v>746</v>
      </c>
      <c r="E88" s="82" t="s">
        <v>737</v>
      </c>
      <c r="F88" s="89" t="s">
        <v>902</v>
      </c>
      <c r="G88" s="41" t="s">
        <v>903</v>
      </c>
      <c r="H88" s="90" t="s">
        <v>904</v>
      </c>
      <c r="I88" s="109"/>
      <c r="J88" s="109"/>
      <c r="K88" s="27"/>
      <c r="L88" s="28"/>
      <c r="M88" s="28"/>
      <c r="N88" s="28"/>
      <c r="O88" s="35"/>
      <c r="P88" s="35"/>
      <c r="Q88" s="35"/>
      <c r="R88" s="35"/>
      <c r="S88" s="35"/>
      <c r="T88" s="35"/>
      <c r="U88" s="27"/>
      <c r="V88" s="34"/>
      <c r="W88" s="27"/>
      <c r="X88" s="34"/>
      <c r="Y88" s="32"/>
      <c r="Z88" s="34"/>
      <c r="AA88" s="27"/>
      <c r="AB88" s="83" t="s">
        <v>905</v>
      </c>
      <c r="AC88" s="109"/>
      <c r="AD88" s="41"/>
      <c r="AE88" s="109"/>
      <c r="AF88" s="109"/>
      <c r="AG88" s="109"/>
      <c r="AH88" s="109"/>
      <c r="AI88" s="109"/>
      <c r="AJ88" s="109"/>
      <c r="AK88" s="109"/>
      <c r="AL88" s="32"/>
      <c r="AM88" s="109"/>
      <c r="AN88" s="109" t="s">
        <v>906</v>
      </c>
      <c r="AO88" s="109"/>
      <c r="AP88" s="109" t="s">
        <v>907</v>
      </c>
      <c r="AQ88" s="109">
        <v>24270</v>
      </c>
      <c r="AR88" s="148">
        <v>16.350000000000001</v>
      </c>
      <c r="AS88" s="148"/>
      <c r="AT88" s="165"/>
      <c r="AU88" s="165"/>
      <c r="AV88" s="165"/>
      <c r="AW88" s="106"/>
      <c r="AX88" s="155" t="s">
        <v>908</v>
      </c>
      <c r="AY88" s="155" t="s">
        <v>909</v>
      </c>
      <c r="AZ88" s="115">
        <v>9.7799999999999994</v>
      </c>
      <c r="BA88" s="115">
        <v>6.75</v>
      </c>
      <c r="BB88" s="115">
        <v>0.77</v>
      </c>
      <c r="BC88" s="37"/>
      <c r="BD88" s="37"/>
      <c r="BE88" s="86">
        <v>0.35</v>
      </c>
      <c r="BF88" s="157">
        <f>6.75+0.036</f>
        <v>6.7859999999999996</v>
      </c>
      <c r="BG88" s="157">
        <f>1.75+0.036</f>
        <v>1.786</v>
      </c>
      <c r="BH88" s="157">
        <v>10.071999999999999</v>
      </c>
      <c r="BI88" s="157">
        <f t="shared" si="28"/>
        <v>7.0642699833333322E-2</v>
      </c>
      <c r="BJ88" s="152">
        <v>0.13</v>
      </c>
      <c r="BK88" s="153">
        <v>11.75</v>
      </c>
      <c r="BL88" s="153">
        <v>10.5</v>
      </c>
      <c r="BM88" s="153">
        <f>6.875+0.5</f>
        <v>7.375</v>
      </c>
      <c r="BN88" s="157">
        <f t="shared" si="29"/>
        <v>0.52655707465277779</v>
      </c>
      <c r="BO88" s="167">
        <v>0.56000000000000005</v>
      </c>
      <c r="BP88" s="167"/>
      <c r="BQ88" s="167"/>
      <c r="BR88" s="116" t="s">
        <v>733</v>
      </c>
      <c r="BS88" s="81">
        <v>6</v>
      </c>
      <c r="BT88" s="81">
        <v>12</v>
      </c>
      <c r="BU88" s="81">
        <v>6</v>
      </c>
      <c r="BV88" s="29">
        <f t="shared" si="27"/>
        <v>432</v>
      </c>
      <c r="BW88" s="29">
        <f t="shared" si="30"/>
        <v>297.68</v>
      </c>
      <c r="BX88" s="29" t="s">
        <v>743</v>
      </c>
      <c r="BY88" s="158" t="s">
        <v>744</v>
      </c>
      <c r="BZ88" s="79"/>
      <c r="CA88" s="79"/>
      <c r="CB88" s="36"/>
      <c r="CC88" s="79"/>
    </row>
    <row r="89" spans="1:82" s="1" customFormat="1" x14ac:dyDescent="0.25">
      <c r="A89" s="104">
        <v>42395</v>
      </c>
      <c r="B89" s="82" t="s">
        <v>14</v>
      </c>
      <c r="C89" s="82" t="s">
        <v>910</v>
      </c>
      <c r="D89" s="82" t="s">
        <v>746</v>
      </c>
      <c r="E89" s="82" t="s">
        <v>737</v>
      </c>
      <c r="F89" s="89" t="s">
        <v>911</v>
      </c>
      <c r="G89" s="41" t="s">
        <v>912</v>
      </c>
      <c r="H89" s="90" t="s">
        <v>913</v>
      </c>
      <c r="I89" s="109"/>
      <c r="J89" s="109"/>
      <c r="K89" s="27"/>
      <c r="L89" s="28"/>
      <c r="M89" s="28"/>
      <c r="N89" s="28"/>
      <c r="O89" s="35"/>
      <c r="P89" s="35"/>
      <c r="Q89" s="35"/>
      <c r="R89" s="35"/>
      <c r="S89" s="35"/>
      <c r="T89" s="35"/>
      <c r="U89" s="27"/>
      <c r="V89" s="34"/>
      <c r="W89" s="27"/>
      <c r="X89" s="34"/>
      <c r="Y89" s="32"/>
      <c r="Z89" s="34"/>
      <c r="AA89" s="27"/>
      <c r="AB89" s="83"/>
      <c r="AC89" s="109"/>
      <c r="AD89" s="41"/>
      <c r="AE89" s="109"/>
      <c r="AF89" s="109"/>
      <c r="AG89" s="109"/>
      <c r="AH89" s="109"/>
      <c r="AI89" s="109"/>
      <c r="AJ89" s="109"/>
      <c r="AK89" s="109"/>
      <c r="AL89" s="32" t="s">
        <v>914</v>
      </c>
      <c r="AM89" s="109"/>
      <c r="AN89" s="109"/>
      <c r="AO89" s="109"/>
      <c r="AP89" s="109"/>
      <c r="AQ89" s="109">
        <v>49361</v>
      </c>
      <c r="AR89" s="148">
        <v>73.31</v>
      </c>
      <c r="AS89" s="148"/>
      <c r="AT89" s="165"/>
      <c r="AU89" s="165"/>
      <c r="AV89" s="165"/>
      <c r="AW89" s="106"/>
      <c r="AX89" s="114" t="s">
        <v>915</v>
      </c>
      <c r="AY89" s="114" t="s">
        <v>916</v>
      </c>
      <c r="AZ89" s="115">
        <v>15.94</v>
      </c>
      <c r="BA89" s="115">
        <v>8.35</v>
      </c>
      <c r="BB89" s="115">
        <v>2.2799999999999998</v>
      </c>
      <c r="BC89" s="37"/>
      <c r="BD89" s="37"/>
      <c r="BE89" s="86">
        <v>1.19</v>
      </c>
      <c r="BF89" s="157">
        <f>9.75+0.036</f>
        <v>9.7859999999999996</v>
      </c>
      <c r="BG89" s="157">
        <f>3.75+0.036</f>
        <v>3.786</v>
      </c>
      <c r="BH89" s="157">
        <f>20.072</f>
        <v>20.071999999999999</v>
      </c>
      <c r="BI89" s="157">
        <f t="shared" si="28"/>
        <v>0.43036082483333332</v>
      </c>
      <c r="BJ89" s="152">
        <v>0.4</v>
      </c>
      <c r="BK89" s="153">
        <v>23.5</v>
      </c>
      <c r="BL89" s="153">
        <v>10.5</v>
      </c>
      <c r="BM89" s="153">
        <v>20.62</v>
      </c>
      <c r="BN89" s="157">
        <f t="shared" si="29"/>
        <v>2.9444357638888894</v>
      </c>
      <c r="BO89" s="167">
        <v>1.52</v>
      </c>
      <c r="BP89" s="167"/>
      <c r="BQ89" s="167"/>
      <c r="BR89" s="116" t="s">
        <v>733</v>
      </c>
      <c r="BS89" s="81">
        <v>6</v>
      </c>
      <c r="BT89" s="81">
        <v>6</v>
      </c>
      <c r="BU89" s="81">
        <v>2</v>
      </c>
      <c r="BV89" s="29">
        <f t="shared" si="27"/>
        <v>72</v>
      </c>
      <c r="BW89" s="29">
        <f t="shared" si="30"/>
        <v>182.71999999999997</v>
      </c>
      <c r="BX89" s="29" t="s">
        <v>743</v>
      </c>
      <c r="BY89" s="158" t="s">
        <v>744</v>
      </c>
      <c r="BZ89" s="79"/>
      <c r="CA89" s="79"/>
      <c r="CB89" s="36"/>
    </row>
    <row r="90" spans="1:82" s="1" customFormat="1" x14ac:dyDescent="0.25">
      <c r="A90" s="104">
        <v>42395</v>
      </c>
      <c r="B90" s="147" t="s">
        <v>14</v>
      </c>
      <c r="C90" s="82" t="s">
        <v>917</v>
      </c>
      <c r="D90" s="82" t="s">
        <v>746</v>
      </c>
      <c r="E90" s="82" t="s">
        <v>737</v>
      </c>
      <c r="F90" s="89" t="s">
        <v>918</v>
      </c>
      <c r="G90" s="41" t="s">
        <v>903</v>
      </c>
      <c r="H90" s="90" t="s">
        <v>919</v>
      </c>
      <c r="I90" s="109"/>
      <c r="J90" s="109"/>
      <c r="K90" s="27"/>
      <c r="L90" s="28"/>
      <c r="M90" s="28"/>
      <c r="N90" s="28"/>
      <c r="O90" s="35"/>
      <c r="P90" s="35"/>
      <c r="Q90" s="35"/>
      <c r="R90" s="35"/>
      <c r="S90" s="35"/>
      <c r="T90" s="35"/>
      <c r="U90" s="27"/>
      <c r="V90" s="34"/>
      <c r="W90" s="27"/>
      <c r="X90" s="34"/>
      <c r="Y90" s="32"/>
      <c r="Z90" s="34"/>
      <c r="AA90" s="27"/>
      <c r="AB90" s="83" t="s">
        <v>920</v>
      </c>
      <c r="AC90" s="109"/>
      <c r="AD90" s="41"/>
      <c r="AE90" s="109"/>
      <c r="AF90" s="109"/>
      <c r="AG90" s="109"/>
      <c r="AH90" s="109"/>
      <c r="AI90" s="109" t="s">
        <v>917</v>
      </c>
      <c r="AJ90" s="109"/>
      <c r="AK90" s="109"/>
      <c r="AL90" s="32" t="s">
        <v>921</v>
      </c>
      <c r="AM90" s="109" t="s">
        <v>917</v>
      </c>
      <c r="AN90" s="109" t="s">
        <v>921</v>
      </c>
      <c r="AO90" s="109"/>
      <c r="AP90" s="109" t="s">
        <v>922</v>
      </c>
      <c r="AQ90" s="109">
        <v>24015</v>
      </c>
      <c r="AR90" s="148">
        <v>19.010000000000002</v>
      </c>
      <c r="AS90" s="148"/>
      <c r="AT90" s="165"/>
      <c r="AU90" s="165"/>
      <c r="AV90" s="165"/>
      <c r="AW90" s="106"/>
      <c r="AX90" s="155" t="s">
        <v>923</v>
      </c>
      <c r="AY90" s="155" t="s">
        <v>924</v>
      </c>
      <c r="AZ90" s="115">
        <v>8.94</v>
      </c>
      <c r="BA90" s="115">
        <v>10.31</v>
      </c>
      <c r="BB90" s="115">
        <v>1.34</v>
      </c>
      <c r="BC90" s="37"/>
      <c r="BD90" s="37"/>
      <c r="BE90" s="86">
        <v>0.21</v>
      </c>
      <c r="BF90" s="147">
        <v>9.0359999999999996</v>
      </c>
      <c r="BG90" s="147">
        <v>2.036</v>
      </c>
      <c r="BH90" s="147">
        <v>11.571999999999999</v>
      </c>
      <c r="BI90" s="157">
        <f t="shared" si="28"/>
        <v>0.12320226233333333</v>
      </c>
      <c r="BJ90" s="152">
        <v>0.21</v>
      </c>
      <c r="BK90" s="168">
        <v>13</v>
      </c>
      <c r="BL90" s="169">
        <v>9.75</v>
      </c>
      <c r="BM90" s="169">
        <f>11.62+0.5</f>
        <v>12.12</v>
      </c>
      <c r="BN90" s="170">
        <f t="shared" si="29"/>
        <v>0.88901041666666658</v>
      </c>
      <c r="BO90" s="171">
        <v>0.81</v>
      </c>
      <c r="BP90" s="171"/>
      <c r="BQ90" s="171"/>
      <c r="BR90" s="116" t="s">
        <v>733</v>
      </c>
      <c r="BS90" s="81">
        <v>6</v>
      </c>
      <c r="BT90" s="81">
        <v>14</v>
      </c>
      <c r="BU90" s="81">
        <v>3</v>
      </c>
      <c r="BV90" s="29">
        <f t="shared" si="27"/>
        <v>252</v>
      </c>
      <c r="BW90" s="29">
        <f t="shared" si="30"/>
        <v>189.86</v>
      </c>
      <c r="BX90" s="81" t="s">
        <v>743</v>
      </c>
      <c r="BY90" s="158" t="s">
        <v>744</v>
      </c>
      <c r="BZ90" s="79"/>
      <c r="CA90" s="79"/>
      <c r="CB90" s="36"/>
    </row>
    <row r="91" spans="1:82" s="1" customFormat="1" x14ac:dyDescent="0.25">
      <c r="A91" s="104">
        <v>42395</v>
      </c>
      <c r="B91" s="147" t="s">
        <v>14</v>
      </c>
      <c r="C91" s="81" t="s">
        <v>925</v>
      </c>
      <c r="D91" s="82" t="s">
        <v>746</v>
      </c>
      <c r="E91" s="82" t="s">
        <v>737</v>
      </c>
      <c r="F91" s="89" t="s">
        <v>926</v>
      </c>
      <c r="G91" s="41" t="s">
        <v>927</v>
      </c>
      <c r="H91" s="90" t="s">
        <v>928</v>
      </c>
      <c r="I91" s="109"/>
      <c r="J91" s="109"/>
      <c r="K91" s="27"/>
      <c r="L91" s="28"/>
      <c r="M91" s="28"/>
      <c r="N91" s="28"/>
      <c r="O91" s="35"/>
      <c r="P91" s="35"/>
      <c r="Q91" s="35"/>
      <c r="R91" s="35"/>
      <c r="S91" s="35"/>
      <c r="T91" s="35"/>
      <c r="U91" s="27" t="s">
        <v>929</v>
      </c>
      <c r="V91" s="34"/>
      <c r="W91" s="27"/>
      <c r="X91" s="34"/>
      <c r="Y91" s="32"/>
      <c r="Z91" s="34"/>
      <c r="AA91" s="27"/>
      <c r="AB91" s="83"/>
      <c r="AC91" s="109"/>
      <c r="AD91" s="41"/>
      <c r="AE91" s="109"/>
      <c r="AF91" s="109"/>
      <c r="AG91" s="109"/>
      <c r="AH91" s="109"/>
      <c r="AI91" s="109"/>
      <c r="AJ91" s="109"/>
      <c r="AK91" s="109"/>
      <c r="AL91" s="32" t="s">
        <v>930</v>
      </c>
      <c r="AM91" s="109"/>
      <c r="AN91" s="109"/>
      <c r="AO91" s="109"/>
      <c r="AP91" s="109"/>
      <c r="AQ91" s="109">
        <v>24487</v>
      </c>
      <c r="AR91" s="148">
        <v>22.14</v>
      </c>
      <c r="AS91" s="148"/>
      <c r="AT91" s="165"/>
      <c r="AU91" s="165"/>
      <c r="AV91" s="165"/>
      <c r="AW91" s="106"/>
      <c r="AX91" s="114" t="s">
        <v>931</v>
      </c>
      <c r="AY91" s="155" t="s">
        <v>932</v>
      </c>
      <c r="AZ91" s="115">
        <v>5.05</v>
      </c>
      <c r="BA91" s="115">
        <v>8.83</v>
      </c>
      <c r="BB91" s="115">
        <v>0.86599999999999999</v>
      </c>
      <c r="BC91" s="37"/>
      <c r="BD91" s="37"/>
      <c r="BE91" s="160">
        <f>0.29*2</f>
        <v>0.57999999999999996</v>
      </c>
      <c r="BF91" s="163">
        <f>5.59+0.036</f>
        <v>5.6259999999999994</v>
      </c>
      <c r="BG91" s="163">
        <v>2.036</v>
      </c>
      <c r="BH91" s="163">
        <f>9.62+0.036+0.036</f>
        <v>9.6919999999999984</v>
      </c>
      <c r="BI91" s="157">
        <f t="shared" si="28"/>
        <v>6.424615909259257E-2</v>
      </c>
      <c r="BJ91" s="160">
        <v>0.09</v>
      </c>
      <c r="BK91" s="163">
        <v>13.25</v>
      </c>
      <c r="BL91" s="163">
        <v>10</v>
      </c>
      <c r="BM91" s="163">
        <v>6.25</v>
      </c>
      <c r="BN91" s="157">
        <f t="shared" si="29"/>
        <v>0.47923900462962965</v>
      </c>
      <c r="BO91" s="167">
        <v>0.59</v>
      </c>
      <c r="BP91" s="167"/>
      <c r="BQ91" s="167"/>
      <c r="BR91" s="81" t="s">
        <v>733</v>
      </c>
      <c r="BS91" s="81">
        <v>6</v>
      </c>
      <c r="BT91" s="81">
        <v>14</v>
      </c>
      <c r="BU91" s="81">
        <v>7</v>
      </c>
      <c r="BV91" s="29">
        <f t="shared" si="27"/>
        <v>588</v>
      </c>
      <c r="BW91" s="29">
        <f t="shared" si="30"/>
        <v>501.78</v>
      </c>
      <c r="BX91" s="29" t="s">
        <v>743</v>
      </c>
      <c r="BY91" s="158" t="s">
        <v>744</v>
      </c>
      <c r="BZ91" s="79"/>
      <c r="CA91" s="79"/>
      <c r="CB91" s="36"/>
    </row>
    <row r="92" spans="1:82" s="1" customFormat="1" x14ac:dyDescent="0.25">
      <c r="A92" s="104">
        <v>42395</v>
      </c>
      <c r="B92" s="82" t="s">
        <v>14</v>
      </c>
      <c r="C92" s="82" t="s">
        <v>933</v>
      </c>
      <c r="D92" s="82" t="s">
        <v>746</v>
      </c>
      <c r="E92" s="82" t="s">
        <v>934</v>
      </c>
      <c r="F92" s="172" t="s">
        <v>935</v>
      </c>
      <c r="G92" s="173" t="s">
        <v>749</v>
      </c>
      <c r="H92" s="174" t="s">
        <v>936</v>
      </c>
      <c r="I92" s="109"/>
      <c r="J92" s="109"/>
      <c r="K92" s="27"/>
      <c r="L92" s="28"/>
      <c r="M92" s="28"/>
      <c r="N92" s="28"/>
      <c r="O92" s="35"/>
      <c r="P92" s="35"/>
      <c r="Q92" s="35"/>
      <c r="R92" s="35"/>
      <c r="S92" s="35"/>
      <c r="T92" s="35"/>
      <c r="U92" s="27"/>
      <c r="V92" s="34"/>
      <c r="W92" s="27"/>
      <c r="X92" s="34"/>
      <c r="Y92" s="32"/>
      <c r="Z92" s="34"/>
      <c r="AA92" s="27"/>
      <c r="AB92" s="83" t="s">
        <v>937</v>
      </c>
      <c r="AC92" s="109"/>
      <c r="AD92" s="41"/>
      <c r="AE92" s="109"/>
      <c r="AF92" s="109"/>
      <c r="AG92" s="109"/>
      <c r="AH92" s="109"/>
      <c r="AI92" s="109"/>
      <c r="AJ92" s="109"/>
      <c r="AK92" s="109"/>
      <c r="AL92" s="32" t="s">
        <v>938</v>
      </c>
      <c r="AM92" s="109"/>
      <c r="AN92" s="109" t="s">
        <v>939</v>
      </c>
      <c r="AO92" s="109"/>
      <c r="AP92" s="109" t="s">
        <v>940</v>
      </c>
      <c r="AQ92" s="109">
        <v>49830</v>
      </c>
      <c r="AR92" s="148">
        <v>20.64</v>
      </c>
      <c r="AS92" s="148"/>
      <c r="AT92" s="165"/>
      <c r="AU92" s="165"/>
      <c r="AV92" s="165"/>
      <c r="AW92" s="106"/>
      <c r="AX92" s="114" t="s">
        <v>941</v>
      </c>
      <c r="AY92" s="114" t="s">
        <v>942</v>
      </c>
      <c r="AZ92" s="115">
        <v>12.32</v>
      </c>
      <c r="BA92" s="115">
        <v>10.98</v>
      </c>
      <c r="BB92" s="115">
        <v>1.67</v>
      </c>
      <c r="BC92" s="37"/>
      <c r="BD92" s="37"/>
      <c r="BE92" s="86">
        <v>0.72</v>
      </c>
      <c r="BF92" s="175">
        <f>13.31+0.036</f>
        <v>13.346</v>
      </c>
      <c r="BG92" s="157">
        <f>2.87+0.036</f>
        <v>2.9060000000000001</v>
      </c>
      <c r="BH92" s="157">
        <f>13.31+0.072</f>
        <v>13.382</v>
      </c>
      <c r="BI92" s="157">
        <f t="shared" si="28"/>
        <v>0.30034749758796297</v>
      </c>
      <c r="BJ92" s="152">
        <v>0.36</v>
      </c>
      <c r="BK92" s="153">
        <v>14.5</v>
      </c>
      <c r="BL92" s="153">
        <v>14.25</v>
      </c>
      <c r="BM92" s="153">
        <v>9.5</v>
      </c>
      <c r="BN92" s="157">
        <f t="shared" si="29"/>
        <v>1.1359592013888888</v>
      </c>
      <c r="BO92" s="167">
        <v>0.99</v>
      </c>
      <c r="BP92" s="167"/>
      <c r="BQ92" s="167"/>
      <c r="BR92" s="116" t="s">
        <v>733</v>
      </c>
      <c r="BS92" s="81">
        <v>3</v>
      </c>
      <c r="BT92" s="81">
        <v>6</v>
      </c>
      <c r="BU92" s="81">
        <v>4</v>
      </c>
      <c r="BV92" s="29">
        <f t="shared" si="27"/>
        <v>72</v>
      </c>
      <c r="BW92" s="29">
        <f t="shared" si="30"/>
        <v>151.52000000000001</v>
      </c>
      <c r="BX92" s="81" t="s">
        <v>734</v>
      </c>
      <c r="BY92" s="154" t="s">
        <v>735</v>
      </c>
      <c r="BZ92" s="79"/>
      <c r="CA92" s="79"/>
      <c r="CB92" s="36"/>
    </row>
    <row r="93" spans="1:82" s="1" customFormat="1" x14ac:dyDescent="0.25">
      <c r="A93" s="104">
        <v>42395</v>
      </c>
      <c r="B93" s="82" t="s">
        <v>14</v>
      </c>
      <c r="C93" s="81" t="s">
        <v>943</v>
      </c>
      <c r="D93" s="82" t="s">
        <v>746</v>
      </c>
      <c r="E93" s="176" t="s">
        <v>944</v>
      </c>
      <c r="F93" s="89" t="s">
        <v>945</v>
      </c>
      <c r="G93" s="83" t="s">
        <v>912</v>
      </c>
      <c r="H93" s="90" t="s">
        <v>946</v>
      </c>
      <c r="I93" s="177"/>
      <c r="J93" s="109"/>
      <c r="K93" s="27"/>
      <c r="L93" s="28"/>
      <c r="M93" s="28"/>
      <c r="N93" s="28"/>
      <c r="O93" s="35"/>
      <c r="P93" s="35"/>
      <c r="Q93" s="35"/>
      <c r="R93" s="35"/>
      <c r="S93" s="35"/>
      <c r="T93" s="35"/>
      <c r="U93" s="27"/>
      <c r="V93" s="34"/>
      <c r="W93" s="27"/>
      <c r="X93" s="34"/>
      <c r="Y93" s="32"/>
      <c r="Z93" s="34"/>
      <c r="AA93" s="27" t="s">
        <v>947</v>
      </c>
      <c r="AB93" s="83"/>
      <c r="AC93" s="109"/>
      <c r="AD93" s="41"/>
      <c r="AE93" s="109"/>
      <c r="AF93" s="109"/>
      <c r="AG93" s="109"/>
      <c r="AH93" s="109"/>
      <c r="AI93" s="109"/>
      <c r="AJ93" s="83"/>
      <c r="AK93" s="109"/>
      <c r="AL93" s="26"/>
      <c r="AM93" s="109"/>
      <c r="AN93" s="109"/>
      <c r="AO93" s="109"/>
      <c r="AP93" s="109"/>
      <c r="AQ93" s="109">
        <v>57161</v>
      </c>
      <c r="AR93" s="148">
        <v>25.72</v>
      </c>
      <c r="AS93" s="148">
        <v>0.5</v>
      </c>
      <c r="AT93" s="165">
        <v>0.55000000000000004</v>
      </c>
      <c r="AU93" s="165">
        <v>0.35</v>
      </c>
      <c r="AV93" s="165">
        <v>0.38</v>
      </c>
      <c r="AW93" s="106"/>
      <c r="AX93" s="155" t="s">
        <v>948</v>
      </c>
      <c r="AY93" s="155" t="s">
        <v>949</v>
      </c>
      <c r="AZ93" s="37"/>
      <c r="BA93" s="37"/>
      <c r="BB93" s="37"/>
      <c r="BC93" s="178">
        <v>2.98</v>
      </c>
      <c r="BD93" s="178">
        <v>7.87</v>
      </c>
      <c r="BE93" s="87">
        <f>0.28</f>
        <v>0.28000000000000003</v>
      </c>
      <c r="BF93" s="179">
        <f>3.81+0.036</f>
        <v>3.8460000000000001</v>
      </c>
      <c r="BG93" s="163">
        <f>3.81+0.036</f>
        <v>3.8460000000000001</v>
      </c>
      <c r="BH93" s="163">
        <f>8+(4*0.018)</f>
        <v>8.0719999999999992</v>
      </c>
      <c r="BI93" s="157">
        <f t="shared" si="28"/>
        <v>6.9096488166666664E-2</v>
      </c>
      <c r="BJ93" s="160">
        <f>0.09</f>
        <v>0.09</v>
      </c>
      <c r="BK93" s="163">
        <f>15.56+0.25</f>
        <v>15.81</v>
      </c>
      <c r="BL93" s="163">
        <f>11.68+0.25</f>
        <v>11.93</v>
      </c>
      <c r="BM93" s="163">
        <v>8.6199999999999992</v>
      </c>
      <c r="BN93" s="157">
        <f t="shared" si="29"/>
        <v>0.94088347569444442</v>
      </c>
      <c r="BO93" s="167">
        <v>0.87</v>
      </c>
      <c r="BP93" s="167"/>
      <c r="BQ93" s="167"/>
      <c r="BR93" s="81" t="s">
        <v>733</v>
      </c>
      <c r="BS93" s="81">
        <v>12</v>
      </c>
      <c r="BT93" s="81">
        <v>10</v>
      </c>
      <c r="BU93" s="81">
        <v>5</v>
      </c>
      <c r="BV93" s="29">
        <f t="shared" si="27"/>
        <v>600</v>
      </c>
      <c r="BW93" s="29">
        <f t="shared" si="30"/>
        <v>315.5</v>
      </c>
      <c r="BX93" s="29" t="s">
        <v>950</v>
      </c>
      <c r="BY93" s="29" t="s">
        <v>783</v>
      </c>
      <c r="BZ93" s="79"/>
      <c r="CA93" s="79"/>
      <c r="CB93" s="36"/>
    </row>
    <row r="94" spans="1:82" s="1" customFormat="1" x14ac:dyDescent="0.25">
      <c r="A94" s="104">
        <v>42395</v>
      </c>
      <c r="B94" s="82" t="s">
        <v>14</v>
      </c>
      <c r="C94" s="82" t="s">
        <v>951</v>
      </c>
      <c r="D94" s="82" t="s">
        <v>746</v>
      </c>
      <c r="E94" s="82" t="s">
        <v>944</v>
      </c>
      <c r="F94" s="180" t="s">
        <v>952</v>
      </c>
      <c r="G94" s="181" t="s">
        <v>777</v>
      </c>
      <c r="H94" s="182">
        <v>6511800309</v>
      </c>
      <c r="I94" s="109"/>
      <c r="J94" s="109"/>
      <c r="K94" s="27"/>
      <c r="L94" s="28"/>
      <c r="M94" s="28"/>
      <c r="N94" s="28"/>
      <c r="O94" s="35"/>
      <c r="P94" s="35"/>
      <c r="Q94" s="35"/>
      <c r="R94" s="35"/>
      <c r="S94" s="35"/>
      <c r="T94" s="35"/>
      <c r="U94" s="27"/>
      <c r="V94" s="34"/>
      <c r="W94" s="27"/>
      <c r="X94" s="34"/>
      <c r="Y94" s="32"/>
      <c r="Z94" s="34"/>
      <c r="AA94" s="27"/>
      <c r="AB94" s="83"/>
      <c r="AC94" s="109"/>
      <c r="AD94" s="41"/>
      <c r="AE94" s="109"/>
      <c r="AF94" s="109"/>
      <c r="AG94" s="109"/>
      <c r="AH94" s="109"/>
      <c r="AI94" s="109"/>
      <c r="AJ94" s="83"/>
      <c r="AK94" s="109"/>
      <c r="AL94" s="26"/>
      <c r="AM94" s="109"/>
      <c r="AN94" s="109"/>
      <c r="AO94" s="109"/>
      <c r="AP94" s="109"/>
      <c r="AQ94" s="109"/>
      <c r="AR94" s="148">
        <v>12.87</v>
      </c>
      <c r="AS94" s="148">
        <v>0.5</v>
      </c>
      <c r="AT94" s="165">
        <v>0.55000000000000004</v>
      </c>
      <c r="AU94" s="165">
        <v>0.35</v>
      </c>
      <c r="AV94" s="165">
        <v>0.38</v>
      </c>
      <c r="AW94" s="106"/>
      <c r="AX94" s="155" t="s">
        <v>953</v>
      </c>
      <c r="AY94" s="155" t="s">
        <v>954</v>
      </c>
      <c r="AZ94" s="37"/>
      <c r="BA94" s="37"/>
      <c r="BB94" s="37"/>
      <c r="BC94" s="178">
        <v>2.56</v>
      </c>
      <c r="BD94" s="178">
        <v>4.3499999999999996</v>
      </c>
      <c r="BE94" s="86">
        <f>0.18</f>
        <v>0.18</v>
      </c>
      <c r="BF94" s="183">
        <f>2.755+0.018+0.018</f>
        <v>2.7909999999999995</v>
      </c>
      <c r="BG94" s="147">
        <f>2.755+0.018+0.018</f>
        <v>2.7909999999999995</v>
      </c>
      <c r="BH94" s="147">
        <f>4.842+(0.018*4)</f>
        <v>4.9139999999999997</v>
      </c>
      <c r="BI94" s="157">
        <f t="shared" si="28"/>
        <v>2.2151905343749986E-2</v>
      </c>
      <c r="BJ94" s="152">
        <f>0.1</f>
        <v>0.1</v>
      </c>
      <c r="BK94" s="184">
        <f>11.42+0.25</f>
        <v>11.67</v>
      </c>
      <c r="BL94" s="184">
        <f>8.66+0.25</f>
        <v>8.91</v>
      </c>
      <c r="BM94" s="184">
        <f>5.43+0.5</f>
        <v>5.93</v>
      </c>
      <c r="BN94" s="157">
        <f t="shared" si="29"/>
        <v>0.35682848437499998</v>
      </c>
      <c r="BO94" s="166">
        <v>0.25</v>
      </c>
      <c r="BP94" s="166"/>
      <c r="BQ94" s="166"/>
      <c r="BR94" s="116" t="s">
        <v>733</v>
      </c>
      <c r="BS94" s="81">
        <v>12</v>
      </c>
      <c r="BT94" s="81">
        <v>17</v>
      </c>
      <c r="BU94" s="81">
        <v>7</v>
      </c>
      <c r="BV94" s="29">
        <f t="shared" si="27"/>
        <v>1428</v>
      </c>
      <c r="BW94" s="29">
        <f t="shared" si="30"/>
        <v>479.59000000000003</v>
      </c>
      <c r="BX94" s="29" t="s">
        <v>955</v>
      </c>
      <c r="BY94" s="29" t="s">
        <v>783</v>
      </c>
      <c r="BZ94" s="79"/>
      <c r="CA94" s="79"/>
      <c r="CB94" s="36"/>
    </row>
    <row r="95" spans="1:82" s="1" customFormat="1" x14ac:dyDescent="0.25">
      <c r="A95" s="104">
        <v>42395</v>
      </c>
      <c r="B95" s="82" t="s">
        <v>14</v>
      </c>
      <c r="C95" s="82" t="s">
        <v>956</v>
      </c>
      <c r="D95" s="82" t="s">
        <v>746</v>
      </c>
      <c r="E95" s="176" t="s">
        <v>944</v>
      </c>
      <c r="F95" s="26" t="s">
        <v>957</v>
      </c>
      <c r="G95" s="83" t="s">
        <v>748</v>
      </c>
      <c r="H95" s="185">
        <v>55577033</v>
      </c>
      <c r="I95" s="177"/>
      <c r="J95" s="109"/>
      <c r="K95" s="27"/>
      <c r="L95" s="28"/>
      <c r="M95" s="28"/>
      <c r="N95" s="28"/>
      <c r="O95" s="35"/>
      <c r="P95" s="35"/>
      <c r="Q95" s="35"/>
      <c r="R95" s="35"/>
      <c r="S95" s="35"/>
      <c r="T95" s="35"/>
      <c r="U95" s="27"/>
      <c r="V95" s="34"/>
      <c r="W95" s="27"/>
      <c r="X95" s="34"/>
      <c r="Y95" s="32"/>
      <c r="Z95" s="34"/>
      <c r="AA95" s="27"/>
      <c r="AB95" s="83"/>
      <c r="AC95" s="109"/>
      <c r="AD95" s="41"/>
      <c r="AE95" s="109"/>
      <c r="AF95" s="109"/>
      <c r="AG95" s="109"/>
      <c r="AH95" s="109"/>
      <c r="AI95" s="109"/>
      <c r="AJ95" s="83"/>
      <c r="AK95" s="109"/>
      <c r="AL95" s="26"/>
      <c r="AM95" s="109"/>
      <c r="AN95" s="109"/>
      <c r="AO95" s="109"/>
      <c r="AP95" s="109"/>
      <c r="AQ95" s="109"/>
      <c r="AR95" s="148">
        <v>8.6199999999999992</v>
      </c>
      <c r="AS95" s="148">
        <v>0.5</v>
      </c>
      <c r="AT95" s="165">
        <v>0.55000000000000004</v>
      </c>
      <c r="AU95" s="165">
        <v>0.35</v>
      </c>
      <c r="AV95" s="165">
        <v>0.38</v>
      </c>
      <c r="AW95" s="106"/>
      <c r="AX95" s="155" t="s">
        <v>958</v>
      </c>
      <c r="AY95" s="155" t="s">
        <v>959</v>
      </c>
      <c r="AZ95" s="37"/>
      <c r="BA95" s="37"/>
      <c r="BB95" s="37"/>
      <c r="BC95" s="178">
        <v>2.5870000000000002</v>
      </c>
      <c r="BD95" s="178">
        <v>4.1340000000000003</v>
      </c>
      <c r="BE95" s="86">
        <f>0.13</f>
        <v>0.13</v>
      </c>
      <c r="BF95" s="183">
        <f>2.755+0.018+0.018</f>
        <v>2.7909999999999995</v>
      </c>
      <c r="BG95" s="147">
        <f>2.755+0.018+0.018</f>
        <v>2.7909999999999995</v>
      </c>
      <c r="BH95" s="147">
        <f>4.33+(0.018*4)</f>
        <v>4.4020000000000001</v>
      </c>
      <c r="BI95" s="157">
        <f t="shared" si="28"/>
        <v>1.9843851714120366E-2</v>
      </c>
      <c r="BJ95" s="152">
        <f>0.1</f>
        <v>0.1</v>
      </c>
      <c r="BK95" s="184">
        <f>11.417+0.25</f>
        <v>11.667</v>
      </c>
      <c r="BL95" s="184">
        <f>8.582+0.25</f>
        <v>8.8320000000000007</v>
      </c>
      <c r="BM95" s="184">
        <f>4.803+0.5</f>
        <v>5.3029999999999999</v>
      </c>
      <c r="BN95" s="157">
        <f t="shared" si="29"/>
        <v>0.31622496066666667</v>
      </c>
      <c r="BO95" s="167">
        <v>0.25</v>
      </c>
      <c r="BP95" s="167"/>
      <c r="BQ95" s="167"/>
      <c r="BR95" s="116" t="s">
        <v>733</v>
      </c>
      <c r="BS95" s="81">
        <v>12</v>
      </c>
      <c r="BT95" s="81">
        <v>17</v>
      </c>
      <c r="BU95" s="81">
        <v>8</v>
      </c>
      <c r="BV95" s="29">
        <f t="shared" si="27"/>
        <v>1632</v>
      </c>
      <c r="BW95" s="29">
        <f t="shared" si="30"/>
        <v>459.36</v>
      </c>
      <c r="BX95" s="81" t="s">
        <v>743</v>
      </c>
      <c r="BY95" s="29" t="s">
        <v>783</v>
      </c>
      <c r="BZ95" s="79"/>
      <c r="CA95" s="79"/>
      <c r="CB95" s="36"/>
    </row>
    <row r="96" spans="1:82" s="1" customFormat="1" x14ac:dyDescent="0.25">
      <c r="A96" s="104">
        <v>42395</v>
      </c>
      <c r="B96" s="82" t="s">
        <v>14</v>
      </c>
      <c r="C96" s="82" t="s">
        <v>960</v>
      </c>
      <c r="D96" s="82" t="s">
        <v>746</v>
      </c>
      <c r="E96" s="82" t="s">
        <v>944</v>
      </c>
      <c r="F96" s="89" t="s">
        <v>961</v>
      </c>
      <c r="G96" s="83" t="s">
        <v>912</v>
      </c>
      <c r="H96" s="32" t="s">
        <v>962</v>
      </c>
      <c r="I96" s="109"/>
      <c r="J96" s="109"/>
      <c r="K96" s="27"/>
      <c r="L96" s="28"/>
      <c r="M96" s="28"/>
      <c r="N96" s="28"/>
      <c r="O96" s="35"/>
      <c r="P96" s="35"/>
      <c r="Q96" s="35"/>
      <c r="R96" s="35"/>
      <c r="S96" s="35"/>
      <c r="T96" s="35"/>
      <c r="U96" s="27"/>
      <c r="V96" s="34"/>
      <c r="W96" s="27"/>
      <c r="X96" s="34"/>
      <c r="Y96" s="32"/>
      <c r="Z96" s="34"/>
      <c r="AA96" s="27"/>
      <c r="AB96" s="83"/>
      <c r="AC96" s="109"/>
      <c r="AD96" s="41"/>
      <c r="AE96" s="109"/>
      <c r="AF96" s="109"/>
      <c r="AG96" s="109"/>
      <c r="AH96" s="109"/>
      <c r="AI96" s="109"/>
      <c r="AJ96" s="83"/>
      <c r="AK96" s="109"/>
      <c r="AL96" s="26"/>
      <c r="AM96" s="109"/>
      <c r="AN96" s="109"/>
      <c r="AO96" s="109"/>
      <c r="AP96" s="109"/>
      <c r="AQ96" s="109"/>
      <c r="AR96" s="148">
        <v>8.7799999999999994</v>
      </c>
      <c r="AS96" s="148">
        <v>0.5</v>
      </c>
      <c r="AT96" s="165">
        <v>0.55000000000000004</v>
      </c>
      <c r="AU96" s="165">
        <v>0.35</v>
      </c>
      <c r="AV96" s="165">
        <v>0.38</v>
      </c>
      <c r="AW96" s="106"/>
      <c r="AX96" s="155" t="s">
        <v>963</v>
      </c>
      <c r="AY96" s="155" t="s">
        <v>964</v>
      </c>
      <c r="AZ96" s="37"/>
      <c r="BA96" s="37"/>
      <c r="BB96" s="37"/>
      <c r="BC96" s="178">
        <v>2.677</v>
      </c>
      <c r="BD96" s="178">
        <v>4.6849999999999996</v>
      </c>
      <c r="BE96" s="87">
        <f>0.2</f>
        <v>0.2</v>
      </c>
      <c r="BF96" s="147">
        <f>2.755+0.036</f>
        <v>2.7909999999999999</v>
      </c>
      <c r="BG96" s="147">
        <f>2.755+0.036</f>
        <v>2.7909999999999999</v>
      </c>
      <c r="BH96" s="147">
        <f>4.724+0.072</f>
        <v>4.7960000000000003</v>
      </c>
      <c r="BI96" s="157">
        <f t="shared" si="28"/>
        <v>2.1619971108796297E-2</v>
      </c>
      <c r="BJ96" s="160">
        <f>0.1</f>
        <v>0.1</v>
      </c>
      <c r="BK96" s="184">
        <f>11.417+0.25</f>
        <v>11.667</v>
      </c>
      <c r="BL96" s="184">
        <f>8.582+0.25</f>
        <v>8.8320000000000007</v>
      </c>
      <c r="BM96" s="184">
        <f>5.196+0.5</f>
        <v>5.6959999999999997</v>
      </c>
      <c r="BN96" s="157">
        <f t="shared" si="29"/>
        <v>0.3396600746666667</v>
      </c>
      <c r="BO96" s="166">
        <f>0.25</f>
        <v>0.25</v>
      </c>
      <c r="BP96" s="166"/>
      <c r="BQ96" s="166"/>
      <c r="BR96" s="116" t="s">
        <v>733</v>
      </c>
      <c r="BS96" s="29">
        <v>12</v>
      </c>
      <c r="BT96" s="29">
        <v>17</v>
      </c>
      <c r="BU96" s="29">
        <v>8</v>
      </c>
      <c r="BV96" s="29">
        <f t="shared" si="27"/>
        <v>1632</v>
      </c>
      <c r="BW96" s="29">
        <f t="shared" si="30"/>
        <v>573.6</v>
      </c>
      <c r="BX96" s="29" t="s">
        <v>743</v>
      </c>
      <c r="BY96" s="29" t="s">
        <v>783</v>
      </c>
      <c r="BZ96" s="79"/>
      <c r="CA96" s="79"/>
      <c r="CB96" s="36"/>
    </row>
    <row r="97" spans="1:80" s="1" customFormat="1" x14ac:dyDescent="0.25">
      <c r="A97" s="104">
        <v>42395</v>
      </c>
      <c r="B97" s="147" t="s">
        <v>14</v>
      </c>
      <c r="C97" s="82" t="s">
        <v>965</v>
      </c>
      <c r="D97" s="82" t="s">
        <v>746</v>
      </c>
      <c r="E97" s="176" t="s">
        <v>944</v>
      </c>
      <c r="F97" s="89" t="s">
        <v>966</v>
      </c>
      <c r="G97" s="41" t="s">
        <v>967</v>
      </c>
      <c r="H97" s="90" t="s">
        <v>968</v>
      </c>
      <c r="I97" s="109"/>
      <c r="J97" s="109"/>
      <c r="K97" s="27"/>
      <c r="L97" s="28"/>
      <c r="M97" s="28"/>
      <c r="N97" s="28"/>
      <c r="O97" s="35"/>
      <c r="P97" s="35"/>
      <c r="Q97" s="35"/>
      <c r="R97" s="35"/>
      <c r="S97" s="35"/>
      <c r="T97" s="35"/>
      <c r="U97" s="27" t="s">
        <v>969</v>
      </c>
      <c r="V97" s="34"/>
      <c r="W97" s="27"/>
      <c r="X97" s="34"/>
      <c r="Y97" s="32"/>
      <c r="Z97" s="34" t="s">
        <v>965</v>
      </c>
      <c r="AA97" s="27"/>
      <c r="AB97" s="83" t="s">
        <v>970</v>
      </c>
      <c r="AC97" s="109"/>
      <c r="AD97" s="41"/>
      <c r="AE97" s="109"/>
      <c r="AF97" s="109"/>
      <c r="AG97" s="109" t="s">
        <v>965</v>
      </c>
      <c r="AH97" s="109"/>
      <c r="AI97" s="109"/>
      <c r="AJ97" s="109"/>
      <c r="AK97" s="109"/>
      <c r="AL97" s="32" t="s">
        <v>971</v>
      </c>
      <c r="AM97" s="109"/>
      <c r="AN97" s="109" t="s">
        <v>972</v>
      </c>
      <c r="AO97" s="109"/>
      <c r="AP97" s="109" t="s">
        <v>972</v>
      </c>
      <c r="AQ97" s="109"/>
      <c r="AR97" s="148">
        <v>14.02</v>
      </c>
      <c r="AS97" s="148">
        <v>0.5</v>
      </c>
      <c r="AT97" s="165">
        <v>0.55000000000000004</v>
      </c>
      <c r="AU97" s="165">
        <v>0.35</v>
      </c>
      <c r="AV97" s="165">
        <v>0.38</v>
      </c>
      <c r="AW97" s="106"/>
      <c r="AX97" s="155" t="s">
        <v>973</v>
      </c>
      <c r="AY97" s="155" t="s">
        <v>974</v>
      </c>
      <c r="AZ97" s="37"/>
      <c r="BA97" s="37"/>
      <c r="BB97" s="37"/>
      <c r="BC97" s="178">
        <v>2.6</v>
      </c>
      <c r="BD97" s="178">
        <v>4.88</v>
      </c>
      <c r="BE97" s="86">
        <v>0.215</v>
      </c>
      <c r="BF97" s="147">
        <f>2.755+0.036</f>
        <v>2.7909999999999999</v>
      </c>
      <c r="BG97" s="147">
        <f>2.755+0.036</f>
        <v>2.7909999999999999</v>
      </c>
      <c r="BH97" s="147">
        <f>4.921+0.072</f>
        <v>4.9930000000000003</v>
      </c>
      <c r="BI97" s="157">
        <f t="shared" si="28"/>
        <v>2.2508030806134258E-2</v>
      </c>
      <c r="BJ97" s="152">
        <v>5.0000000000000001E-3</v>
      </c>
      <c r="BK97" s="153">
        <f>11.417+0.25</f>
        <v>11.667</v>
      </c>
      <c r="BL97" s="153">
        <f>8.661+0.25</f>
        <v>8.9109999999999996</v>
      </c>
      <c r="BM97" s="153">
        <f>5.118+0.5</f>
        <v>5.6180000000000003</v>
      </c>
      <c r="BN97" s="157">
        <f t="shared" si="29"/>
        <v>0.33800539969097226</v>
      </c>
      <c r="BO97" s="167">
        <v>2.1999999999999999E-2</v>
      </c>
      <c r="BP97" s="167"/>
      <c r="BQ97" s="167"/>
      <c r="BR97" s="116" t="s">
        <v>733</v>
      </c>
      <c r="BS97" s="81">
        <v>12</v>
      </c>
      <c r="BT97" s="81">
        <v>17</v>
      </c>
      <c r="BU97" s="81">
        <v>8</v>
      </c>
      <c r="BV97" s="29">
        <f t="shared" si="27"/>
        <v>1632</v>
      </c>
      <c r="BW97" s="29">
        <v>395</v>
      </c>
      <c r="BX97" s="29" t="s">
        <v>782</v>
      </c>
      <c r="BY97" s="29" t="s">
        <v>783</v>
      </c>
      <c r="BZ97" s="79"/>
      <c r="CA97" s="79"/>
      <c r="CB97" s="36"/>
    </row>
    <row r="98" spans="1:80" s="1" customFormat="1" x14ac:dyDescent="0.25">
      <c r="A98" s="104">
        <v>42395</v>
      </c>
      <c r="B98" s="147" t="s">
        <v>14</v>
      </c>
      <c r="C98" s="82" t="s">
        <v>975</v>
      </c>
      <c r="D98" s="82" t="s">
        <v>746</v>
      </c>
      <c r="E98" s="82" t="s">
        <v>944</v>
      </c>
      <c r="F98" s="89" t="s">
        <v>976</v>
      </c>
      <c r="G98" s="41" t="s">
        <v>903</v>
      </c>
      <c r="H98" s="90" t="s">
        <v>977</v>
      </c>
      <c r="I98" s="109"/>
      <c r="J98" s="109"/>
      <c r="K98" s="27"/>
      <c r="L98" s="28"/>
      <c r="M98" s="28"/>
      <c r="N98" s="28"/>
      <c r="O98" s="35"/>
      <c r="P98" s="35"/>
      <c r="Q98" s="35"/>
      <c r="R98" s="35"/>
      <c r="S98" s="35"/>
      <c r="T98" s="35"/>
      <c r="U98" s="27"/>
      <c r="V98" s="34"/>
      <c r="W98" s="27"/>
      <c r="X98" s="34"/>
      <c r="Y98" s="32"/>
      <c r="Z98" s="34"/>
      <c r="AA98" s="27"/>
      <c r="AB98" s="83"/>
      <c r="AC98" s="109"/>
      <c r="AD98" s="41"/>
      <c r="AE98" s="109"/>
      <c r="AF98" s="109"/>
      <c r="AG98" s="109"/>
      <c r="AH98" s="109"/>
      <c r="AI98" s="109" t="s">
        <v>975</v>
      </c>
      <c r="AJ98" s="109"/>
      <c r="AK98" s="109"/>
      <c r="AL98" s="32"/>
      <c r="AM98" s="109"/>
      <c r="AN98" s="109" t="s">
        <v>978</v>
      </c>
      <c r="AO98" s="109"/>
      <c r="AP98" s="109" t="s">
        <v>978</v>
      </c>
      <c r="AQ98" s="109" t="s">
        <v>979</v>
      </c>
      <c r="AR98" s="148">
        <v>10.47</v>
      </c>
      <c r="AS98" s="148">
        <v>0.5</v>
      </c>
      <c r="AT98" s="165">
        <v>0.55000000000000004</v>
      </c>
      <c r="AU98" s="165">
        <v>0.35</v>
      </c>
      <c r="AV98" s="165">
        <v>0.38</v>
      </c>
      <c r="AW98" s="106"/>
      <c r="AX98" s="155" t="s">
        <v>923</v>
      </c>
      <c r="AY98" s="155" t="s">
        <v>980</v>
      </c>
      <c r="AZ98" s="37"/>
      <c r="BA98" s="37"/>
      <c r="BB98" s="37"/>
      <c r="BC98" s="178">
        <v>3.25</v>
      </c>
      <c r="BD98" s="178">
        <v>2.83</v>
      </c>
      <c r="BE98" s="186">
        <v>0.15</v>
      </c>
      <c r="BF98" s="163">
        <f>3.346+0.036</f>
        <v>3.3820000000000001</v>
      </c>
      <c r="BG98" s="163">
        <f>3.346+0.036</f>
        <v>3.3820000000000001</v>
      </c>
      <c r="BH98" s="163">
        <f>3.07+0.072</f>
        <v>3.1419999999999999</v>
      </c>
      <c r="BI98" s="157">
        <f t="shared" si="28"/>
        <v>2.0797428939814816E-2</v>
      </c>
      <c r="BJ98" s="152">
        <v>0.1</v>
      </c>
      <c r="BK98" s="153">
        <f>13.78+0.25</f>
        <v>14.03</v>
      </c>
      <c r="BL98" s="153">
        <f>10.43+0.25</f>
        <v>10.68</v>
      </c>
      <c r="BM98" s="153">
        <f>3.58+0.5</f>
        <v>4.08</v>
      </c>
      <c r="BN98" s="157">
        <f t="shared" si="29"/>
        <v>0.3537898333333333</v>
      </c>
      <c r="BO98" s="167">
        <v>0.25</v>
      </c>
      <c r="BP98" s="167"/>
      <c r="BQ98" s="167"/>
      <c r="BR98" s="116" t="s">
        <v>733</v>
      </c>
      <c r="BS98" s="29">
        <v>12</v>
      </c>
      <c r="BT98" s="29">
        <v>11</v>
      </c>
      <c r="BU98" s="29">
        <v>11</v>
      </c>
      <c r="BV98" s="29">
        <f t="shared" si="27"/>
        <v>1452</v>
      </c>
      <c r="BW98" s="29">
        <v>447.21600000000001</v>
      </c>
      <c r="BX98" s="81" t="s">
        <v>955</v>
      </c>
      <c r="BY98" s="154" t="s">
        <v>783</v>
      </c>
      <c r="BZ98" s="79"/>
      <c r="CA98" s="79"/>
      <c r="CB98" s="36"/>
    </row>
    <row r="99" spans="1:80" s="1" customFormat="1" x14ac:dyDescent="0.25">
      <c r="A99" s="104">
        <v>42395</v>
      </c>
      <c r="B99" s="82" t="s">
        <v>14</v>
      </c>
      <c r="C99" s="82" t="s">
        <v>981</v>
      </c>
      <c r="D99" s="82" t="s">
        <v>60</v>
      </c>
      <c r="E99" s="112" t="s">
        <v>982</v>
      </c>
      <c r="F99" s="89" t="s">
        <v>983</v>
      </c>
      <c r="G99" s="41" t="s">
        <v>984</v>
      </c>
      <c r="H99" s="90" t="s">
        <v>985</v>
      </c>
      <c r="I99" s="109"/>
      <c r="J99" s="109"/>
      <c r="K99" s="27"/>
      <c r="L99" s="28"/>
      <c r="M99" s="28"/>
      <c r="N99" s="28"/>
      <c r="O99" s="35"/>
      <c r="P99" s="35"/>
      <c r="Q99" s="35"/>
      <c r="R99" s="35"/>
      <c r="S99" s="35"/>
      <c r="T99" s="35"/>
      <c r="U99" s="27"/>
      <c r="V99" s="34"/>
      <c r="W99" s="27"/>
      <c r="X99" s="34"/>
      <c r="Y99" s="32" t="s">
        <v>986</v>
      </c>
      <c r="Z99" s="34"/>
      <c r="AA99" s="27"/>
      <c r="AB99" s="83"/>
      <c r="AC99" s="109"/>
      <c r="AD99" s="41"/>
      <c r="AE99" s="109"/>
      <c r="AF99" s="109"/>
      <c r="AG99" s="109"/>
      <c r="AH99" s="109"/>
      <c r="AI99" s="109"/>
      <c r="AJ99" s="109"/>
      <c r="AK99" s="109"/>
      <c r="AL99" s="32"/>
      <c r="AM99" s="109"/>
      <c r="AN99" s="109"/>
      <c r="AO99" s="109"/>
      <c r="AP99" s="109"/>
      <c r="AQ99" s="109"/>
      <c r="AR99" s="148">
        <v>37.409999999999997</v>
      </c>
      <c r="AS99" s="148">
        <v>1</v>
      </c>
      <c r="AT99" s="165">
        <v>1.25</v>
      </c>
      <c r="AU99" s="165">
        <v>0.85</v>
      </c>
      <c r="AV99" s="165">
        <v>0</v>
      </c>
      <c r="AW99" s="106"/>
      <c r="AX99" s="143" t="s">
        <v>987</v>
      </c>
      <c r="AY99" s="143" t="s">
        <v>988</v>
      </c>
      <c r="AZ99" s="108"/>
      <c r="BA99" s="108"/>
      <c r="BB99" s="108"/>
      <c r="BC99" s="108">
        <v>3.9089999999999998</v>
      </c>
      <c r="BD99" s="108">
        <v>5.9450000000000003</v>
      </c>
      <c r="BE99" s="152">
        <v>1.5</v>
      </c>
      <c r="BF99" s="163">
        <v>4.25</v>
      </c>
      <c r="BG99" s="163">
        <v>4.25</v>
      </c>
      <c r="BH99" s="163">
        <v>7</v>
      </c>
      <c r="BI99" s="157">
        <f t="shared" si="28"/>
        <v>7.3169849537037035E-2</v>
      </c>
      <c r="BJ99" s="160">
        <v>1.5</v>
      </c>
      <c r="BK99" s="467" t="s">
        <v>989</v>
      </c>
      <c r="BL99" s="468"/>
      <c r="BM99" s="468"/>
      <c r="BN99" s="468"/>
      <c r="BO99" s="469"/>
      <c r="BP99" s="368"/>
      <c r="BQ99" s="368"/>
      <c r="BR99" s="146" t="s">
        <v>733</v>
      </c>
      <c r="BS99" s="147">
        <v>1</v>
      </c>
      <c r="BT99" s="147">
        <v>48</v>
      </c>
      <c r="BU99" s="147">
        <v>3</v>
      </c>
      <c r="BV99" s="29">
        <f t="shared" si="27"/>
        <v>144</v>
      </c>
      <c r="BW99" s="29">
        <f>((((BE99+BJ99)*BS99)+BO99)*BT99*BU99)+50</f>
        <v>482</v>
      </c>
      <c r="BX99" s="147" t="s">
        <v>734</v>
      </c>
      <c r="BY99" s="88" t="s">
        <v>783</v>
      </c>
      <c r="BZ99" s="79"/>
      <c r="CA99" s="79"/>
      <c r="CB99" s="36"/>
    </row>
    <row r="100" spans="1:80" x14ac:dyDescent="0.25">
      <c r="A100" s="187">
        <v>42341</v>
      </c>
      <c r="B100" s="109" t="s">
        <v>14</v>
      </c>
      <c r="C100" s="82" t="s">
        <v>990</v>
      </c>
      <c r="D100" s="82" t="s">
        <v>746</v>
      </c>
      <c r="E100" s="82" t="s">
        <v>991</v>
      </c>
      <c r="F100" s="188" t="s">
        <v>992</v>
      </c>
      <c r="G100" s="81" t="s">
        <v>802</v>
      </c>
      <c r="H100" s="41" t="s">
        <v>993</v>
      </c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2"/>
      <c r="V100" s="132"/>
      <c r="W100" s="132"/>
      <c r="X100" s="132"/>
      <c r="Y100" s="132"/>
      <c r="Z100" s="132"/>
      <c r="AA100" s="132"/>
      <c r="AB100" s="81" t="s">
        <v>994</v>
      </c>
      <c r="AC100" s="109"/>
      <c r="AD100" s="147" t="s">
        <v>995</v>
      </c>
      <c r="AE100" s="109"/>
      <c r="AF100" s="109"/>
      <c r="AG100" s="109"/>
      <c r="AH100" s="109"/>
      <c r="AI100" s="109"/>
      <c r="AJ100" s="109"/>
      <c r="AK100" s="109"/>
      <c r="AL100" s="147" t="s">
        <v>996</v>
      </c>
      <c r="AM100" s="109"/>
      <c r="AN100" s="109"/>
      <c r="AO100" s="109"/>
      <c r="AP100" s="109"/>
      <c r="AQ100" s="189">
        <v>49073</v>
      </c>
      <c r="AR100" s="190">
        <v>12.69</v>
      </c>
      <c r="AS100" s="159"/>
      <c r="AT100" s="191"/>
      <c r="AU100" s="192"/>
      <c r="AV100" s="193"/>
      <c r="AW100" s="193"/>
      <c r="AX100" s="155" t="s">
        <v>997</v>
      </c>
      <c r="AY100" s="155" t="s">
        <v>998</v>
      </c>
      <c r="AZ100" s="115">
        <v>11.38</v>
      </c>
      <c r="BA100" s="115">
        <v>11.5</v>
      </c>
      <c r="BB100" s="115">
        <v>1.08</v>
      </c>
      <c r="BC100" s="37"/>
      <c r="BD100" s="37"/>
      <c r="BE100" s="194"/>
      <c r="BF100" s="157">
        <f>11.5+0.018+0.018</f>
        <v>11.536000000000001</v>
      </c>
      <c r="BG100" s="157">
        <f>2+0.018+0.018</f>
        <v>2.0359999999999996</v>
      </c>
      <c r="BH100" s="157">
        <f>11.5+(4*0.018)</f>
        <v>11.571999999999999</v>
      </c>
      <c r="BI100" s="157">
        <f t="shared" si="28"/>
        <v>0.15728876696296293</v>
      </c>
      <c r="BJ100" s="195">
        <f>0.25+0.661</f>
        <v>0.91100000000000003</v>
      </c>
      <c r="BK100" s="153">
        <v>16.37</v>
      </c>
      <c r="BL100" s="153">
        <v>12.5</v>
      </c>
      <c r="BM100" s="153">
        <v>12.75</v>
      </c>
      <c r="BN100" s="157">
        <f t="shared" ref="BN100:BN111" si="31">(BM100*BL100*BK100)/1728</f>
        <v>1.5098198784722223</v>
      </c>
      <c r="BO100" s="196">
        <v>1.04</v>
      </c>
      <c r="BP100" s="196"/>
      <c r="BQ100" s="196"/>
      <c r="BR100" s="116" t="s">
        <v>733</v>
      </c>
      <c r="BS100" s="81">
        <v>6</v>
      </c>
      <c r="BT100" s="81">
        <v>12</v>
      </c>
      <c r="BU100" s="81">
        <v>3</v>
      </c>
      <c r="BV100" s="29">
        <f t="shared" si="27"/>
        <v>216</v>
      </c>
      <c r="BW100" s="29">
        <f t="shared" ref="BW100:BW110" si="32">(BO100*BT100*BU100)+50</f>
        <v>87.44</v>
      </c>
      <c r="BX100" s="29" t="s">
        <v>743</v>
      </c>
      <c r="BY100" s="29" t="s">
        <v>735</v>
      </c>
      <c r="BZ100" s="8"/>
      <c r="CA100" s="8"/>
      <c r="CB100" s="8"/>
    </row>
    <row r="101" spans="1:80" x14ac:dyDescent="0.25">
      <c r="A101" s="187">
        <v>42341</v>
      </c>
      <c r="B101" s="109" t="s">
        <v>14</v>
      </c>
      <c r="C101" s="81" t="s">
        <v>999</v>
      </c>
      <c r="D101" s="81" t="s">
        <v>746</v>
      </c>
      <c r="E101" s="82" t="s">
        <v>991</v>
      </c>
      <c r="F101" s="188" t="s">
        <v>1000</v>
      </c>
      <c r="G101" s="81" t="s">
        <v>903</v>
      </c>
      <c r="H101" s="41" t="s">
        <v>1001</v>
      </c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32"/>
      <c r="W101" s="132"/>
      <c r="X101" s="132"/>
      <c r="Y101" s="132"/>
      <c r="Z101" s="132"/>
      <c r="AA101" s="132"/>
      <c r="AB101" s="81" t="s">
        <v>1002</v>
      </c>
      <c r="AC101" s="109"/>
      <c r="AD101" s="41"/>
      <c r="AE101" s="109"/>
      <c r="AF101" s="109"/>
      <c r="AG101" s="109"/>
      <c r="AH101" s="109"/>
      <c r="AI101" s="109"/>
      <c r="AJ101" s="109"/>
      <c r="AK101" s="109"/>
      <c r="AL101" s="81"/>
      <c r="AM101" s="109"/>
      <c r="AN101" s="109"/>
      <c r="AO101" s="109"/>
      <c r="AP101" s="109"/>
      <c r="AQ101" s="81"/>
      <c r="AR101" s="190">
        <v>13.68</v>
      </c>
      <c r="AS101" s="159"/>
      <c r="AT101" s="191"/>
      <c r="AU101" s="192"/>
      <c r="AV101" s="197"/>
      <c r="AW101" s="197"/>
      <c r="AX101" s="155" t="s">
        <v>1003</v>
      </c>
      <c r="AY101" s="155" t="s">
        <v>1004</v>
      </c>
      <c r="AZ101" s="115">
        <v>11.77</v>
      </c>
      <c r="BA101" s="115">
        <v>8.92</v>
      </c>
      <c r="BB101" s="115">
        <v>1.48</v>
      </c>
      <c r="BC101" s="37"/>
      <c r="BD101" s="37"/>
      <c r="BE101" s="198"/>
      <c r="BF101" s="199">
        <f>10+0.018+0.018</f>
        <v>10.036000000000001</v>
      </c>
      <c r="BG101" s="199">
        <f>2.5+0.018+0.018</f>
        <v>2.5359999999999996</v>
      </c>
      <c r="BH101" s="199">
        <f>12.5+(4*0.018)</f>
        <v>12.571999999999999</v>
      </c>
      <c r="BI101" s="157">
        <f t="shared" si="28"/>
        <v>0.18516996140740738</v>
      </c>
      <c r="BJ101" s="200">
        <f>0.22+0.688</f>
        <v>0.90799999999999992</v>
      </c>
      <c r="BK101" s="199">
        <v>15.75</v>
      </c>
      <c r="BL101" s="199">
        <v>13.25</v>
      </c>
      <c r="BM101" s="199">
        <v>11</v>
      </c>
      <c r="BN101" s="157">
        <f t="shared" si="31"/>
        <v>1.3284505208333333</v>
      </c>
      <c r="BO101" s="114">
        <v>1.08</v>
      </c>
      <c r="BP101" s="336"/>
      <c r="BQ101" s="336"/>
      <c r="BR101" s="81" t="s">
        <v>733</v>
      </c>
      <c r="BS101" s="81">
        <v>6</v>
      </c>
      <c r="BT101" s="81">
        <v>9</v>
      </c>
      <c r="BU101" s="81">
        <v>4</v>
      </c>
      <c r="BV101" s="29">
        <f t="shared" si="27"/>
        <v>216</v>
      </c>
      <c r="BW101" s="29">
        <f t="shared" si="32"/>
        <v>88.88</v>
      </c>
      <c r="BX101" s="29" t="s">
        <v>743</v>
      </c>
      <c r="BY101" s="29" t="s">
        <v>735</v>
      </c>
      <c r="BZ101" s="8"/>
      <c r="CA101" s="8"/>
      <c r="CB101" s="8"/>
    </row>
    <row r="102" spans="1:80" x14ac:dyDescent="0.25">
      <c r="A102" s="187">
        <v>42341</v>
      </c>
      <c r="B102" s="83" t="s">
        <v>14</v>
      </c>
      <c r="C102" s="83" t="s">
        <v>1005</v>
      </c>
      <c r="D102" s="109" t="s">
        <v>746</v>
      </c>
      <c r="E102" s="112" t="s">
        <v>737</v>
      </c>
      <c r="F102" s="188" t="s">
        <v>1006</v>
      </c>
      <c r="G102" s="83" t="s">
        <v>1007</v>
      </c>
      <c r="H102" s="41" t="s">
        <v>1008</v>
      </c>
      <c r="I102" s="109"/>
      <c r="J102" s="109"/>
      <c r="K102" s="27"/>
      <c r="L102" s="28"/>
      <c r="M102" s="28"/>
      <c r="N102" s="28"/>
      <c r="O102" s="35"/>
      <c r="P102" s="35"/>
      <c r="Q102" s="35"/>
      <c r="R102" s="35"/>
      <c r="S102" s="35"/>
      <c r="T102" s="35"/>
      <c r="U102" s="27"/>
      <c r="V102" s="34"/>
      <c r="W102" s="27"/>
      <c r="X102" s="34"/>
      <c r="Y102" s="32"/>
      <c r="Z102" s="34"/>
      <c r="AA102" s="27"/>
      <c r="AB102" s="83"/>
      <c r="AC102" s="109"/>
      <c r="AD102" s="41"/>
      <c r="AE102" s="109"/>
      <c r="AF102" s="109"/>
      <c r="AG102" s="109"/>
      <c r="AH102" s="109"/>
      <c r="AI102" s="109"/>
      <c r="AJ102" s="83"/>
      <c r="AK102" s="109"/>
      <c r="AL102" s="83" t="s">
        <v>1009</v>
      </c>
      <c r="AM102" s="109"/>
      <c r="AN102" s="83" t="s">
        <v>1009</v>
      </c>
      <c r="AO102" s="109"/>
      <c r="AP102" s="109" t="s">
        <v>1010</v>
      </c>
      <c r="AQ102" s="83">
        <v>24053</v>
      </c>
      <c r="AR102" s="85">
        <v>13.92</v>
      </c>
      <c r="AS102" s="159"/>
      <c r="AT102" s="191"/>
      <c r="AU102" s="192"/>
      <c r="AV102" s="197"/>
      <c r="AW102" s="197"/>
      <c r="AX102" s="114" t="s">
        <v>1011</v>
      </c>
      <c r="AY102" s="114" t="s">
        <v>1012</v>
      </c>
      <c r="AZ102" s="115">
        <v>7.6</v>
      </c>
      <c r="BA102" s="115">
        <v>7.4</v>
      </c>
      <c r="BB102" s="115">
        <v>1.18</v>
      </c>
      <c r="BC102" s="37"/>
      <c r="BD102" s="37"/>
      <c r="BE102" s="86">
        <v>0.2</v>
      </c>
      <c r="BF102" s="201">
        <f>8.87+0.018+0.018</f>
        <v>8.9060000000000006</v>
      </c>
      <c r="BG102" s="81">
        <f>1.31+0.018+0.018</f>
        <v>1.3460000000000001</v>
      </c>
      <c r="BH102" s="81">
        <f>8.87+(0.018*4)</f>
        <v>8.9419999999999984</v>
      </c>
      <c r="BI102" s="157">
        <f t="shared" si="28"/>
        <v>6.2032413421296298E-2</v>
      </c>
      <c r="BJ102" s="86">
        <v>0.12</v>
      </c>
      <c r="BK102" s="153">
        <v>10.5</v>
      </c>
      <c r="BL102" s="153">
        <v>8.75</v>
      </c>
      <c r="BM102" s="153">
        <v>9.75</v>
      </c>
      <c r="BN102" s="157">
        <f t="shared" si="31"/>
        <v>0.51839192708333337</v>
      </c>
      <c r="BO102" s="167">
        <v>0.28000000000000003</v>
      </c>
      <c r="BP102" s="167"/>
      <c r="BQ102" s="167"/>
      <c r="BR102" s="116" t="s">
        <v>733</v>
      </c>
      <c r="BS102" s="81">
        <v>6</v>
      </c>
      <c r="BT102" s="81">
        <v>18</v>
      </c>
      <c r="BU102" s="81">
        <v>4</v>
      </c>
      <c r="BV102" s="29">
        <f t="shared" si="27"/>
        <v>432</v>
      </c>
      <c r="BW102" s="29">
        <f>((BE102+BJ102+BO102)*BT102*BU102)+50</f>
        <v>93.2</v>
      </c>
      <c r="BX102" s="81" t="s">
        <v>743</v>
      </c>
      <c r="BY102" s="29" t="s">
        <v>735</v>
      </c>
      <c r="BZ102" s="8"/>
      <c r="CA102" s="8"/>
      <c r="CB102" s="8"/>
    </row>
    <row r="103" spans="1:80" x14ac:dyDescent="0.25">
      <c r="A103" s="187">
        <v>42341</v>
      </c>
      <c r="B103" s="109" t="s">
        <v>14</v>
      </c>
      <c r="C103" s="81" t="s">
        <v>1013</v>
      </c>
      <c r="D103" s="81" t="s">
        <v>746</v>
      </c>
      <c r="E103" s="82" t="s">
        <v>737</v>
      </c>
      <c r="F103" s="202" t="s">
        <v>1014</v>
      </c>
      <c r="G103" s="81" t="s">
        <v>722</v>
      </c>
      <c r="H103" s="90" t="s">
        <v>1015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2"/>
      <c r="V103" s="132"/>
      <c r="W103" s="132"/>
      <c r="X103" s="132"/>
      <c r="Y103" s="132"/>
      <c r="Z103" s="132"/>
      <c r="AA103" s="132"/>
      <c r="AB103" s="81" t="s">
        <v>1016</v>
      </c>
      <c r="AC103" s="109"/>
      <c r="AD103" s="41"/>
      <c r="AE103" s="109"/>
      <c r="AF103" s="109"/>
      <c r="AG103" s="109"/>
      <c r="AH103" s="109"/>
      <c r="AI103" s="109"/>
      <c r="AJ103" s="81" t="s">
        <v>1017</v>
      </c>
      <c r="AK103" s="109"/>
      <c r="AL103" s="26" t="s">
        <v>1018</v>
      </c>
      <c r="AM103" s="109"/>
      <c r="AN103" s="109"/>
      <c r="AO103" s="109"/>
      <c r="AP103" s="109"/>
      <c r="AQ103" s="81">
        <v>24419</v>
      </c>
      <c r="AR103" s="190">
        <v>17.010000000000002</v>
      </c>
      <c r="AS103" s="159"/>
      <c r="AT103" s="191"/>
      <c r="AU103" s="192"/>
      <c r="AV103" s="197"/>
      <c r="AW103" s="197"/>
      <c r="AX103" s="155" t="s">
        <v>1019</v>
      </c>
      <c r="AY103" s="155" t="s">
        <v>1020</v>
      </c>
      <c r="AZ103" s="115">
        <v>10.119999999999999</v>
      </c>
      <c r="BA103" s="115">
        <v>7.99</v>
      </c>
      <c r="BB103" s="115">
        <v>1.38</v>
      </c>
      <c r="BC103" s="37"/>
      <c r="BD103" s="37"/>
      <c r="BE103" s="194"/>
      <c r="BF103" s="199">
        <f>10.75+0.018+0.018</f>
        <v>10.786000000000001</v>
      </c>
      <c r="BG103" s="199">
        <f>1.313+0.018+0.018</f>
        <v>1.349</v>
      </c>
      <c r="BH103" s="199">
        <f>11.906+(4*0.018)</f>
        <v>11.978</v>
      </c>
      <c r="BI103" s="157">
        <f t="shared" si="28"/>
        <v>0.10085860016898149</v>
      </c>
      <c r="BJ103" s="203">
        <f>0.18+0.36</f>
        <v>0.54</v>
      </c>
      <c r="BK103" s="199">
        <v>13.25</v>
      </c>
      <c r="BL103" s="199">
        <v>11</v>
      </c>
      <c r="BM103" s="199">
        <v>9</v>
      </c>
      <c r="BN103" s="157">
        <f t="shared" si="31"/>
        <v>0.75911458333333337</v>
      </c>
      <c r="BO103" s="114">
        <v>0.69</v>
      </c>
      <c r="BP103" s="336"/>
      <c r="BQ103" s="336"/>
      <c r="BR103" s="81" t="s">
        <v>733</v>
      </c>
      <c r="BS103" s="81">
        <v>6</v>
      </c>
      <c r="BT103" s="81">
        <v>12</v>
      </c>
      <c r="BU103" s="81">
        <v>4</v>
      </c>
      <c r="BV103" s="29">
        <f t="shared" si="27"/>
        <v>288</v>
      </c>
      <c r="BW103" s="29">
        <f t="shared" si="32"/>
        <v>83.12</v>
      </c>
      <c r="BX103" s="29" t="s">
        <v>743</v>
      </c>
      <c r="BY103" s="29" t="s">
        <v>735</v>
      </c>
      <c r="BZ103" s="8"/>
      <c r="CA103" s="8"/>
      <c r="CB103" s="8"/>
    </row>
    <row r="104" spans="1:80" x14ac:dyDescent="0.25">
      <c r="A104" s="187">
        <v>42341</v>
      </c>
      <c r="B104" s="109" t="s">
        <v>14</v>
      </c>
      <c r="C104" s="81" t="s">
        <v>1021</v>
      </c>
      <c r="D104" s="81" t="s">
        <v>746</v>
      </c>
      <c r="E104" s="82" t="s">
        <v>737</v>
      </c>
      <c r="F104" s="202" t="s">
        <v>1022</v>
      </c>
      <c r="G104" s="41" t="s">
        <v>1023</v>
      </c>
      <c r="H104" s="90" t="s">
        <v>1024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2"/>
      <c r="V104" s="132"/>
      <c r="W104" s="132"/>
      <c r="X104" s="132"/>
      <c r="Y104" s="132"/>
      <c r="Z104" s="132"/>
      <c r="AA104" s="132"/>
      <c r="AB104" s="27"/>
      <c r="AC104" s="109"/>
      <c r="AD104" s="41"/>
      <c r="AE104" s="109"/>
      <c r="AF104" s="109"/>
      <c r="AG104" s="109"/>
      <c r="AH104" s="109"/>
      <c r="AI104" s="109"/>
      <c r="AJ104" s="109"/>
      <c r="AK104" s="109"/>
      <c r="AL104" s="32"/>
      <c r="AM104" s="109"/>
      <c r="AN104" s="109"/>
      <c r="AO104" s="109"/>
      <c r="AP104" s="109"/>
      <c r="AQ104" s="81">
        <v>24021</v>
      </c>
      <c r="AR104" s="190">
        <v>39.21</v>
      </c>
      <c r="AS104" s="159"/>
      <c r="AT104" s="191"/>
      <c r="AU104" s="192"/>
      <c r="AV104" s="197"/>
      <c r="AW104" s="197"/>
      <c r="AX104" s="155" t="s">
        <v>1025</v>
      </c>
      <c r="AY104" s="155" t="s">
        <v>1026</v>
      </c>
      <c r="AZ104" s="115">
        <v>8.4600000000000009</v>
      </c>
      <c r="BA104" s="115">
        <v>8.4600000000000009</v>
      </c>
      <c r="BB104" s="115">
        <v>1.1599999999999999</v>
      </c>
      <c r="BC104" s="37"/>
      <c r="BD104" s="37"/>
      <c r="BE104" s="194"/>
      <c r="BF104" s="199">
        <f>9.06+0.018+0.018</f>
        <v>9.0960000000000019</v>
      </c>
      <c r="BG104" s="199">
        <f>1.37+0.018+0.018</f>
        <v>1.4060000000000001</v>
      </c>
      <c r="BH104" s="199">
        <f>9.25+(4*0.018)</f>
        <v>9.3219999999999992</v>
      </c>
      <c r="BI104" s="157">
        <f t="shared" si="28"/>
        <v>6.8992380944444473E-2</v>
      </c>
      <c r="BJ104" s="203">
        <f>0.12+0.32</f>
        <v>0.44</v>
      </c>
      <c r="BK104" s="199">
        <v>10.5</v>
      </c>
      <c r="BL104" s="199">
        <v>8.75</v>
      </c>
      <c r="BM104" s="199">
        <v>9.75</v>
      </c>
      <c r="BN104" s="157">
        <f t="shared" si="31"/>
        <v>0.51839192708333337</v>
      </c>
      <c r="BO104" s="114">
        <v>0.28000000000000003</v>
      </c>
      <c r="BP104" s="336"/>
      <c r="BQ104" s="336"/>
      <c r="BR104" s="81" t="s">
        <v>733</v>
      </c>
      <c r="BS104" s="81">
        <v>6</v>
      </c>
      <c r="BT104" s="81">
        <v>18</v>
      </c>
      <c r="BU104" s="81">
        <v>4</v>
      </c>
      <c r="BV104" s="29">
        <f t="shared" si="27"/>
        <v>432</v>
      </c>
      <c r="BW104" s="29">
        <f t="shared" si="32"/>
        <v>70.16</v>
      </c>
      <c r="BX104" s="29" t="s">
        <v>743</v>
      </c>
      <c r="BY104" s="29" t="s">
        <v>735</v>
      </c>
      <c r="BZ104" s="8"/>
      <c r="CA104" s="8"/>
      <c r="CB104" s="8"/>
    </row>
    <row r="105" spans="1:80" x14ac:dyDescent="0.25">
      <c r="A105" s="187">
        <v>42341</v>
      </c>
      <c r="B105" s="109" t="s">
        <v>14</v>
      </c>
      <c r="C105" s="81" t="s">
        <v>1027</v>
      </c>
      <c r="D105" s="81" t="s">
        <v>746</v>
      </c>
      <c r="E105" s="82" t="s">
        <v>737</v>
      </c>
      <c r="F105" s="204" t="s">
        <v>1028</v>
      </c>
      <c r="G105" s="81" t="s">
        <v>1029</v>
      </c>
      <c r="H105" s="96" t="s">
        <v>1030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2"/>
      <c r="W105" s="132"/>
      <c r="X105" s="132"/>
      <c r="Y105" s="132"/>
      <c r="Z105" s="132"/>
      <c r="AA105" s="132"/>
      <c r="AB105" s="78"/>
      <c r="AC105" s="109"/>
      <c r="AD105" s="41"/>
      <c r="AE105" s="109"/>
      <c r="AF105" s="109"/>
      <c r="AG105" s="109"/>
      <c r="AH105" s="109"/>
      <c r="AI105" s="109"/>
      <c r="AJ105" s="109"/>
      <c r="AK105" s="109"/>
      <c r="AL105" s="32"/>
      <c r="AM105" s="109"/>
      <c r="AN105" s="109"/>
      <c r="AO105" s="109"/>
      <c r="AP105" s="109"/>
      <c r="AQ105" s="81" t="s">
        <v>1031</v>
      </c>
      <c r="AR105" s="190">
        <v>36.25</v>
      </c>
      <c r="AS105" s="159"/>
      <c r="AT105" s="191"/>
      <c r="AU105" s="192"/>
      <c r="AV105" s="197"/>
      <c r="AW105" s="197"/>
      <c r="AX105" s="155" t="s">
        <v>1032</v>
      </c>
      <c r="AY105" s="155" t="s">
        <v>1033</v>
      </c>
      <c r="AZ105" s="115">
        <v>10.75</v>
      </c>
      <c r="BA105" s="115">
        <v>7.76</v>
      </c>
      <c r="BB105" s="115">
        <v>0.4</v>
      </c>
      <c r="BC105" s="37"/>
      <c r="BD105" s="37"/>
      <c r="BE105" s="194"/>
      <c r="BF105" s="199">
        <f>8.281+0.018+0.018</f>
        <v>8.3170000000000019</v>
      </c>
      <c r="BG105" s="199">
        <f>1.375+0.018+0.018</f>
        <v>1.411</v>
      </c>
      <c r="BH105" s="199">
        <f>11.25+(4*0.018)</f>
        <v>11.321999999999999</v>
      </c>
      <c r="BI105" s="157">
        <f t="shared" si="28"/>
        <v>7.6890578364583351E-2</v>
      </c>
      <c r="BJ105" s="203">
        <f>0.12+0.27</f>
        <v>0.39</v>
      </c>
      <c r="BK105" s="199">
        <f>11.62+0.25</f>
        <v>11.87</v>
      </c>
      <c r="BL105" s="199">
        <v>9</v>
      </c>
      <c r="BM105" s="199">
        <v>9</v>
      </c>
      <c r="BN105" s="157">
        <f t="shared" si="31"/>
        <v>0.55640624999999999</v>
      </c>
      <c r="BO105" s="114">
        <v>0.53</v>
      </c>
      <c r="BP105" s="336"/>
      <c r="BQ105" s="336"/>
      <c r="BR105" s="81" t="s">
        <v>733</v>
      </c>
      <c r="BS105" s="81">
        <v>6</v>
      </c>
      <c r="BT105" s="81">
        <v>17</v>
      </c>
      <c r="BU105" s="81">
        <v>5</v>
      </c>
      <c r="BV105" s="29">
        <f t="shared" si="27"/>
        <v>510</v>
      </c>
      <c r="BW105" s="29">
        <f t="shared" si="32"/>
        <v>95.05</v>
      </c>
      <c r="BX105" s="29" t="s">
        <v>743</v>
      </c>
      <c r="BY105" s="29" t="s">
        <v>735</v>
      </c>
      <c r="BZ105" s="8"/>
      <c r="CA105" s="8"/>
      <c r="CB105" s="8"/>
    </row>
    <row r="106" spans="1:80" ht="30" x14ac:dyDescent="0.25">
      <c r="A106" s="187">
        <v>42341</v>
      </c>
      <c r="B106" s="109" t="s">
        <v>14</v>
      </c>
      <c r="C106" s="81" t="s">
        <v>1034</v>
      </c>
      <c r="D106" s="81" t="s">
        <v>746</v>
      </c>
      <c r="E106" s="82" t="s">
        <v>737</v>
      </c>
      <c r="F106" s="188" t="s">
        <v>1035</v>
      </c>
      <c r="G106" s="81" t="s">
        <v>1036</v>
      </c>
      <c r="H106" s="47" t="s">
        <v>1037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2"/>
      <c r="W106" s="132"/>
      <c r="X106" s="132"/>
      <c r="Y106" s="132"/>
      <c r="Z106" s="132"/>
      <c r="AA106" s="132"/>
      <c r="AB106" s="27"/>
      <c r="AC106" s="109"/>
      <c r="AD106" s="41"/>
      <c r="AE106" s="109"/>
      <c r="AF106" s="109"/>
      <c r="AG106" s="109"/>
      <c r="AH106" s="109"/>
      <c r="AI106" s="109"/>
      <c r="AJ106" s="109"/>
      <c r="AK106" s="109"/>
      <c r="AL106" s="32"/>
      <c r="AM106" s="109"/>
      <c r="AN106" s="109"/>
      <c r="AO106" s="109"/>
      <c r="AP106" s="109"/>
      <c r="AQ106" s="81">
        <v>24439</v>
      </c>
      <c r="AR106" s="190">
        <v>34.07</v>
      </c>
      <c r="AS106" s="159"/>
      <c r="AT106" s="191"/>
      <c r="AU106" s="192"/>
      <c r="AV106" s="197"/>
      <c r="AW106" s="197"/>
      <c r="AX106" s="155" t="s">
        <v>1038</v>
      </c>
      <c r="AY106" s="155" t="s">
        <v>1039</v>
      </c>
      <c r="AZ106" s="115">
        <v>9.9600000000000009</v>
      </c>
      <c r="BA106" s="115">
        <v>10.08</v>
      </c>
      <c r="BB106" s="115">
        <v>1.38</v>
      </c>
      <c r="BC106" s="37"/>
      <c r="BD106" s="37"/>
      <c r="BE106" s="194"/>
      <c r="BF106" s="199">
        <f>10.031+0.018+0.018</f>
        <v>10.067000000000002</v>
      </c>
      <c r="BG106" s="199">
        <f>1.61+0.018+0.018</f>
        <v>1.6460000000000001</v>
      </c>
      <c r="BH106" s="199">
        <f>10.625+(4*0.018)</f>
        <v>10.696999999999999</v>
      </c>
      <c r="BI106" s="157">
        <f t="shared" si="28"/>
        <v>0.10257656629282409</v>
      </c>
      <c r="BJ106" s="203">
        <f>0.15+0.23</f>
        <v>0.38</v>
      </c>
      <c r="BK106" s="199">
        <v>12</v>
      </c>
      <c r="BL106" s="199">
        <v>10.37</v>
      </c>
      <c r="BM106" s="199">
        <v>10.62</v>
      </c>
      <c r="BN106" s="157">
        <f t="shared" si="31"/>
        <v>0.76478749999999995</v>
      </c>
      <c r="BO106" s="114">
        <v>0.66</v>
      </c>
      <c r="BP106" s="336"/>
      <c r="BQ106" s="336"/>
      <c r="BR106" s="81" t="s">
        <v>733</v>
      </c>
      <c r="BS106" s="81">
        <v>6</v>
      </c>
      <c r="BT106" s="81">
        <v>12</v>
      </c>
      <c r="BU106" s="81">
        <v>4</v>
      </c>
      <c r="BV106" s="29">
        <f t="shared" si="27"/>
        <v>288</v>
      </c>
      <c r="BW106" s="29">
        <f t="shared" si="32"/>
        <v>81.680000000000007</v>
      </c>
      <c r="BX106" s="29" t="s">
        <v>743</v>
      </c>
      <c r="BY106" s="29" t="s">
        <v>735</v>
      </c>
      <c r="BZ106" s="8"/>
      <c r="CA106" s="8"/>
      <c r="CB106" s="8"/>
    </row>
    <row r="107" spans="1:80" x14ac:dyDescent="0.25">
      <c r="A107" s="187">
        <v>42341</v>
      </c>
      <c r="B107" s="109" t="s">
        <v>14</v>
      </c>
      <c r="C107" s="81" t="s">
        <v>1040</v>
      </c>
      <c r="D107" s="81" t="s">
        <v>746</v>
      </c>
      <c r="E107" s="82" t="s">
        <v>737</v>
      </c>
      <c r="F107" s="205" t="s">
        <v>1041</v>
      </c>
      <c r="G107" s="81" t="s">
        <v>1042</v>
      </c>
      <c r="H107" s="79" t="s">
        <v>1043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2"/>
      <c r="V107" s="132"/>
      <c r="W107" s="132"/>
      <c r="X107" s="132"/>
      <c r="Y107" s="132"/>
      <c r="Z107" s="132"/>
      <c r="AA107" s="132"/>
      <c r="AB107" s="41"/>
      <c r="AC107" s="109"/>
      <c r="AD107" s="41"/>
      <c r="AE107" s="109"/>
      <c r="AF107" s="109"/>
      <c r="AG107" s="109"/>
      <c r="AH107" s="109"/>
      <c r="AI107" s="109"/>
      <c r="AJ107" s="109"/>
      <c r="AK107" s="109"/>
      <c r="AL107" s="32"/>
      <c r="AM107" s="109"/>
      <c r="AN107" s="109"/>
      <c r="AO107" s="109"/>
      <c r="AP107" s="109"/>
      <c r="AQ107" s="81"/>
      <c r="AR107" s="190">
        <v>37.979999999999997</v>
      </c>
      <c r="AS107" s="159"/>
      <c r="AT107" s="191"/>
      <c r="AU107" s="192"/>
      <c r="AV107" s="197"/>
      <c r="AW107" s="197"/>
      <c r="AX107" s="155" t="s">
        <v>1044</v>
      </c>
      <c r="AY107" s="155" t="s">
        <v>1045</v>
      </c>
      <c r="AZ107" s="115">
        <v>9.67</v>
      </c>
      <c r="BA107" s="115">
        <v>8.5</v>
      </c>
      <c r="BB107" s="115">
        <v>0.8</v>
      </c>
      <c r="BC107" s="37"/>
      <c r="BD107" s="37"/>
      <c r="BE107" s="194"/>
      <c r="BF107" s="199">
        <f>8.93+0.018+0.018</f>
        <v>8.9660000000000011</v>
      </c>
      <c r="BG107" s="199">
        <f>1.31+0.018+0.018</f>
        <v>1.3460000000000001</v>
      </c>
      <c r="BH107" s="199">
        <f>9.75+(4*0.018)</f>
        <v>9.8219999999999992</v>
      </c>
      <c r="BI107" s="157">
        <f t="shared" si="28"/>
        <v>6.8596188652777779E-2</v>
      </c>
      <c r="BJ107" s="203">
        <f>0.12+0.47</f>
        <v>0.59</v>
      </c>
      <c r="BK107" s="199">
        <v>10.5</v>
      </c>
      <c r="BL107" s="199">
        <v>8.75</v>
      </c>
      <c r="BM107" s="199">
        <v>9.75</v>
      </c>
      <c r="BN107" s="157">
        <f t="shared" si="31"/>
        <v>0.51839192708333337</v>
      </c>
      <c r="BO107" s="114">
        <v>0.28000000000000003</v>
      </c>
      <c r="BP107" s="336"/>
      <c r="BQ107" s="336"/>
      <c r="BR107" s="81" t="s">
        <v>733</v>
      </c>
      <c r="BS107" s="81">
        <v>6</v>
      </c>
      <c r="BT107" s="81">
        <v>18</v>
      </c>
      <c r="BU107" s="81">
        <v>4</v>
      </c>
      <c r="BV107" s="29">
        <f t="shared" si="27"/>
        <v>432</v>
      </c>
      <c r="BW107" s="29">
        <f t="shared" si="32"/>
        <v>70.16</v>
      </c>
      <c r="BX107" s="29" t="s">
        <v>743</v>
      </c>
      <c r="BY107" s="29" t="s">
        <v>735</v>
      </c>
      <c r="BZ107" s="8"/>
      <c r="CA107" s="8"/>
      <c r="CB107" s="8"/>
    </row>
    <row r="108" spans="1:80" x14ac:dyDescent="0.25">
      <c r="A108" s="187">
        <v>42341</v>
      </c>
      <c r="B108" s="109" t="s">
        <v>14</v>
      </c>
      <c r="C108" s="81" t="s">
        <v>1046</v>
      </c>
      <c r="D108" s="81" t="s">
        <v>746</v>
      </c>
      <c r="E108" s="82" t="s">
        <v>737</v>
      </c>
      <c r="F108" s="206" t="s">
        <v>1047</v>
      </c>
      <c r="G108" s="81" t="s">
        <v>1048</v>
      </c>
      <c r="H108" s="207" t="s">
        <v>1049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2"/>
      <c r="V108" s="132"/>
      <c r="W108" s="132"/>
      <c r="X108" s="132"/>
      <c r="Y108" s="132"/>
      <c r="Z108" s="132"/>
      <c r="AA108" s="132"/>
      <c r="AB108" s="41"/>
      <c r="AC108" s="109"/>
      <c r="AD108" s="41"/>
      <c r="AE108" s="109"/>
      <c r="AF108" s="109"/>
      <c r="AG108" s="109"/>
      <c r="AH108" s="109"/>
      <c r="AI108" s="109"/>
      <c r="AJ108" s="109"/>
      <c r="AK108" s="109"/>
      <c r="AL108" s="32"/>
      <c r="AM108" s="109"/>
      <c r="AN108" s="109"/>
      <c r="AO108" s="109"/>
      <c r="AP108" s="109"/>
      <c r="AQ108" s="81"/>
      <c r="AR108" s="190">
        <v>16.829999999999998</v>
      </c>
      <c r="AS108" s="159"/>
      <c r="AT108" s="191"/>
      <c r="AU108" s="192"/>
      <c r="AV108" s="197"/>
      <c r="AW108" s="197"/>
      <c r="AX108" s="155" t="s">
        <v>1050</v>
      </c>
      <c r="AY108" s="155" t="s">
        <v>1051</v>
      </c>
      <c r="AZ108" s="115">
        <v>9.5299999999999994</v>
      </c>
      <c r="BA108" s="115">
        <v>8.74</v>
      </c>
      <c r="BB108" s="115">
        <v>2.91</v>
      </c>
      <c r="BC108" s="37"/>
      <c r="BD108" s="37"/>
      <c r="BE108" s="194"/>
      <c r="BF108" s="199">
        <f>10.31+(2*0.018)</f>
        <v>10.346</v>
      </c>
      <c r="BG108" s="199">
        <f>10.31+(2*0.018)</f>
        <v>10.346</v>
      </c>
      <c r="BH108" s="199">
        <f>10.31+(4*0.018)</f>
        <v>10.382</v>
      </c>
      <c r="BI108" s="157">
        <f t="shared" si="28"/>
        <v>0.64310551592129628</v>
      </c>
      <c r="BJ108" s="203">
        <f>0.26+0.26</f>
        <v>0.52</v>
      </c>
      <c r="BK108" s="199">
        <f>18.37+0.25</f>
        <v>18.62</v>
      </c>
      <c r="BL108" s="199">
        <v>10.75</v>
      </c>
      <c r="BM108" s="199">
        <v>11</v>
      </c>
      <c r="BN108" s="157">
        <f t="shared" si="31"/>
        <v>1.2741984953703704</v>
      </c>
      <c r="BO108" s="114">
        <v>0.91</v>
      </c>
      <c r="BP108" s="336"/>
      <c r="BQ108" s="336"/>
      <c r="BR108" s="81" t="s">
        <v>733</v>
      </c>
      <c r="BS108" s="81">
        <v>6</v>
      </c>
      <c r="BT108" s="81">
        <v>8</v>
      </c>
      <c r="BU108" s="81">
        <v>4</v>
      </c>
      <c r="BV108" s="29">
        <f t="shared" si="27"/>
        <v>192</v>
      </c>
      <c r="BW108" s="29">
        <f t="shared" si="32"/>
        <v>79.12</v>
      </c>
      <c r="BX108" s="29" t="s">
        <v>743</v>
      </c>
      <c r="BY108" s="29" t="s">
        <v>735</v>
      </c>
      <c r="BZ108" s="8"/>
      <c r="CA108" s="8"/>
      <c r="CB108" s="8"/>
    </row>
    <row r="109" spans="1:80" x14ac:dyDescent="0.25">
      <c r="A109" s="187">
        <v>42341</v>
      </c>
      <c r="B109" s="109" t="s">
        <v>14</v>
      </c>
      <c r="C109" s="81" t="s">
        <v>1052</v>
      </c>
      <c r="D109" s="81" t="s">
        <v>746</v>
      </c>
      <c r="E109" s="82" t="s">
        <v>944</v>
      </c>
      <c r="F109" s="202" t="s">
        <v>1053</v>
      </c>
      <c r="G109" s="81" t="s">
        <v>1054</v>
      </c>
      <c r="H109" s="32">
        <v>1131840225</v>
      </c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2"/>
      <c r="V109" s="132"/>
      <c r="W109" s="132"/>
      <c r="X109" s="132"/>
      <c r="Y109" s="132"/>
      <c r="Z109" s="132"/>
      <c r="AA109" s="132"/>
      <c r="AB109" s="41"/>
      <c r="AC109" s="109"/>
      <c r="AD109" s="41"/>
      <c r="AE109" s="109"/>
      <c r="AF109" s="109"/>
      <c r="AG109" s="109"/>
      <c r="AH109" s="81" t="s">
        <v>1055</v>
      </c>
      <c r="AI109" s="109"/>
      <c r="AJ109" s="109"/>
      <c r="AK109" s="109"/>
      <c r="AL109" s="32"/>
      <c r="AM109" s="109"/>
      <c r="AN109" s="109"/>
      <c r="AO109" s="109"/>
      <c r="AP109" s="109"/>
      <c r="AQ109" s="81"/>
      <c r="AR109" s="190">
        <v>13.95</v>
      </c>
      <c r="AS109" s="190">
        <v>0.5</v>
      </c>
      <c r="AT109" s="190">
        <v>0.55000000000000004</v>
      </c>
      <c r="AU109" s="190">
        <v>0.35</v>
      </c>
      <c r="AV109" s="190">
        <v>0.38</v>
      </c>
      <c r="AW109" s="197"/>
      <c r="AX109" s="155" t="s">
        <v>1056</v>
      </c>
      <c r="AY109" s="155" t="s">
        <v>1057</v>
      </c>
      <c r="AZ109" s="37"/>
      <c r="BA109" s="37"/>
      <c r="BB109" s="37"/>
      <c r="BC109" s="178">
        <v>2.5590000000000002</v>
      </c>
      <c r="BD109" s="178">
        <v>4.0549999999999997</v>
      </c>
      <c r="BE109" s="194"/>
      <c r="BF109" s="199">
        <f>2.755+0.018+0.018</f>
        <v>2.7909999999999995</v>
      </c>
      <c r="BG109" s="199">
        <f>2.755+0.018+0.018</f>
        <v>2.7909999999999995</v>
      </c>
      <c r="BH109" s="199">
        <f>4.842+(4*0.018)</f>
        <v>4.9139999999999997</v>
      </c>
      <c r="BI109" s="157">
        <f t="shared" si="28"/>
        <v>2.2151905343749986E-2</v>
      </c>
      <c r="BJ109" s="200">
        <f>0.1+0.25</f>
        <v>0.35</v>
      </c>
      <c r="BK109" s="199">
        <f>11.42+0.25</f>
        <v>11.67</v>
      </c>
      <c r="BL109" s="199">
        <f>8.66+0.25</f>
        <v>8.91</v>
      </c>
      <c r="BM109" s="199">
        <v>5.93</v>
      </c>
      <c r="BN109" s="157">
        <f t="shared" si="31"/>
        <v>0.35682848437499998</v>
      </c>
      <c r="BO109" s="81">
        <v>0.25</v>
      </c>
      <c r="BP109" s="332"/>
      <c r="BQ109" s="332"/>
      <c r="BR109" s="81" t="s">
        <v>733</v>
      </c>
      <c r="BS109" s="81">
        <v>12</v>
      </c>
      <c r="BT109" s="81">
        <v>17</v>
      </c>
      <c r="BU109" s="81">
        <v>7</v>
      </c>
      <c r="BV109" s="29">
        <f t="shared" si="27"/>
        <v>1428</v>
      </c>
      <c r="BW109" s="29">
        <f t="shared" si="32"/>
        <v>79.75</v>
      </c>
      <c r="BX109" s="29" t="s">
        <v>955</v>
      </c>
      <c r="BY109" s="29" t="s">
        <v>735</v>
      </c>
      <c r="BZ109" s="8"/>
      <c r="CA109" s="8"/>
      <c r="CB109" s="8"/>
    </row>
    <row r="110" spans="1:80" x14ac:dyDescent="0.25">
      <c r="A110" s="187">
        <v>42341</v>
      </c>
      <c r="B110" s="109" t="s">
        <v>14</v>
      </c>
      <c r="C110" s="81" t="s">
        <v>1058</v>
      </c>
      <c r="D110" s="81" t="s">
        <v>746</v>
      </c>
      <c r="E110" s="82" t="s">
        <v>944</v>
      </c>
      <c r="F110" s="202" t="s">
        <v>1059</v>
      </c>
      <c r="G110" s="81" t="s">
        <v>1054</v>
      </c>
      <c r="H110" s="32">
        <v>2761800009</v>
      </c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2"/>
      <c r="V110" s="132"/>
      <c r="W110" s="132"/>
      <c r="X110" s="132"/>
      <c r="Y110" s="132"/>
      <c r="Z110" s="132"/>
      <c r="AA110" s="132"/>
      <c r="AB110" s="78"/>
      <c r="AC110" s="109"/>
      <c r="AD110" s="41"/>
      <c r="AE110" s="109"/>
      <c r="AF110" s="109"/>
      <c r="AG110" s="109"/>
      <c r="AH110" s="109"/>
      <c r="AI110" s="109"/>
      <c r="AJ110" s="109"/>
      <c r="AK110" s="109"/>
      <c r="AL110" s="32"/>
      <c r="AM110" s="109"/>
      <c r="AN110" s="109"/>
      <c r="AO110" s="109"/>
      <c r="AP110" s="109"/>
      <c r="AQ110" s="81"/>
      <c r="AR110" s="190">
        <v>26.43</v>
      </c>
      <c r="AS110" s="148">
        <v>0.5</v>
      </c>
      <c r="AT110" s="148">
        <v>0.55000000000000004</v>
      </c>
      <c r="AU110" s="148">
        <v>0.35</v>
      </c>
      <c r="AV110" s="148">
        <v>0.38</v>
      </c>
      <c r="AW110" s="197"/>
      <c r="AX110" s="155" t="s">
        <v>1060</v>
      </c>
      <c r="AY110" s="155" t="s">
        <v>1061</v>
      </c>
      <c r="AZ110" s="37"/>
      <c r="BA110" s="37"/>
      <c r="BB110" s="37"/>
      <c r="BC110" s="108">
        <v>2.56</v>
      </c>
      <c r="BD110" s="108">
        <v>6.59</v>
      </c>
      <c r="BE110" s="194"/>
      <c r="BF110" s="208">
        <f>2.87+0.018+0.018</f>
        <v>2.9059999999999997</v>
      </c>
      <c r="BG110" s="209">
        <f>2.87+0.018+0.018</f>
        <v>2.9059999999999997</v>
      </c>
      <c r="BH110" s="209">
        <f>6.62+(4*0.018)</f>
        <v>6.6920000000000002</v>
      </c>
      <c r="BI110" s="170">
        <f t="shared" si="28"/>
        <v>3.2704191268518513E-2</v>
      </c>
      <c r="BJ110" s="210">
        <f>0.08+0.5</f>
        <v>0.57999999999999996</v>
      </c>
      <c r="BK110" s="199">
        <v>13.5</v>
      </c>
      <c r="BL110" s="199">
        <v>9.25</v>
      </c>
      <c r="BM110" s="199">
        <v>7.25</v>
      </c>
      <c r="BN110" s="157">
        <f t="shared" si="31"/>
        <v>0.52392578125</v>
      </c>
      <c r="BO110" s="114">
        <v>0.56999999999999995</v>
      </c>
      <c r="BP110" s="336"/>
      <c r="BQ110" s="336"/>
      <c r="BR110" s="81" t="s">
        <v>733</v>
      </c>
      <c r="BS110" s="81">
        <v>12</v>
      </c>
      <c r="BT110" s="81">
        <v>13</v>
      </c>
      <c r="BU110" s="81">
        <v>6</v>
      </c>
      <c r="BV110" s="29">
        <f t="shared" si="27"/>
        <v>936</v>
      </c>
      <c r="BW110" s="29">
        <f t="shared" si="32"/>
        <v>94.46</v>
      </c>
      <c r="BX110" s="29" t="s">
        <v>1062</v>
      </c>
      <c r="BY110" s="29" t="s">
        <v>735</v>
      </c>
      <c r="BZ110" s="8"/>
      <c r="CA110" s="8"/>
      <c r="CB110" s="8"/>
    </row>
    <row r="111" spans="1:80" s="1" customFormat="1" ht="30" x14ac:dyDescent="0.25">
      <c r="A111" s="187">
        <v>42341</v>
      </c>
      <c r="B111" s="83" t="s">
        <v>14</v>
      </c>
      <c r="C111" s="83" t="s">
        <v>1063</v>
      </c>
      <c r="D111" s="109" t="s">
        <v>60</v>
      </c>
      <c r="E111" s="112" t="s">
        <v>65</v>
      </c>
      <c r="F111" s="202" t="s">
        <v>1064</v>
      </c>
      <c r="G111" s="83" t="s">
        <v>748</v>
      </c>
      <c r="H111" s="32">
        <v>19256348</v>
      </c>
      <c r="I111" s="109"/>
      <c r="J111" s="109"/>
      <c r="K111" s="27"/>
      <c r="L111" s="28"/>
      <c r="M111" s="28"/>
      <c r="N111" s="28"/>
      <c r="O111" s="35"/>
      <c r="P111" s="35"/>
      <c r="Q111" s="35"/>
      <c r="R111" s="35"/>
      <c r="S111" s="35"/>
      <c r="T111" s="35"/>
      <c r="U111" s="27" t="s">
        <v>1065</v>
      </c>
      <c r="V111" s="34"/>
      <c r="W111" s="27"/>
      <c r="X111" s="34"/>
      <c r="Y111" s="32"/>
      <c r="Z111" s="34"/>
      <c r="AA111" s="27"/>
      <c r="AB111" s="83" t="s">
        <v>1066</v>
      </c>
      <c r="AC111" s="109"/>
      <c r="AD111" s="41"/>
      <c r="AE111" s="109"/>
      <c r="AF111" s="109"/>
      <c r="AG111" s="109"/>
      <c r="AH111" s="109"/>
      <c r="AI111" s="109"/>
      <c r="AJ111" s="109"/>
      <c r="AK111" s="109"/>
      <c r="AL111" s="32" t="s">
        <v>1067</v>
      </c>
      <c r="AM111" s="109"/>
      <c r="AN111" s="109" t="s">
        <v>1068</v>
      </c>
      <c r="AO111" s="109"/>
      <c r="AP111" s="109" t="s">
        <v>1068</v>
      </c>
      <c r="AQ111" s="27">
        <v>33837</v>
      </c>
      <c r="AR111" s="85">
        <v>150.11000000000001</v>
      </c>
      <c r="AS111" s="191">
        <v>0.5</v>
      </c>
      <c r="AT111" s="33">
        <v>0.55000000000000004</v>
      </c>
      <c r="AU111" s="33">
        <v>0.4</v>
      </c>
      <c r="AV111" s="155"/>
      <c r="AW111" s="155"/>
      <c r="AX111" s="155" t="s">
        <v>1069</v>
      </c>
      <c r="AY111" s="155" t="s">
        <v>1070</v>
      </c>
      <c r="AZ111" s="37"/>
      <c r="BA111" s="37"/>
      <c r="BB111" s="37"/>
      <c r="BC111" s="178">
        <v>4.0199999999999996</v>
      </c>
      <c r="BD111" s="178">
        <v>6.44</v>
      </c>
      <c r="BE111" s="86">
        <v>1.28</v>
      </c>
      <c r="BF111" s="81">
        <f>4.43+0.018+0.018</f>
        <v>4.4659999999999993</v>
      </c>
      <c r="BG111" s="81">
        <f>4.43+0.018+0.018</f>
        <v>4.4659999999999993</v>
      </c>
      <c r="BH111" s="81">
        <f>10.37+0.018+0.018+0.018+0.018</f>
        <v>10.442000000000002</v>
      </c>
      <c r="BI111" s="157">
        <f t="shared" si="28"/>
        <v>0.12052506883796293</v>
      </c>
      <c r="BJ111" s="86">
        <v>0.27</v>
      </c>
      <c r="BK111" s="153">
        <v>14.5</v>
      </c>
      <c r="BL111" s="153">
        <f>9.37+0.25</f>
        <v>9.6199999999999992</v>
      </c>
      <c r="BM111" s="153">
        <v>11.56</v>
      </c>
      <c r="BN111" s="157">
        <f t="shared" si="31"/>
        <v>0.93316226851851858</v>
      </c>
      <c r="BO111" s="167">
        <v>1.24</v>
      </c>
      <c r="BP111" s="167"/>
      <c r="BQ111" s="167"/>
      <c r="BR111" s="116" t="s">
        <v>733</v>
      </c>
      <c r="BS111" s="81">
        <v>6</v>
      </c>
      <c r="BT111" s="81">
        <v>12</v>
      </c>
      <c r="BU111" s="81">
        <v>3</v>
      </c>
      <c r="BV111" s="29">
        <f t="shared" si="27"/>
        <v>216</v>
      </c>
      <c r="BW111" s="29">
        <f>((BE111+BJ111+BO111)*BT111*BU111)+50</f>
        <v>150.44</v>
      </c>
      <c r="BX111" s="81" t="s">
        <v>890</v>
      </c>
      <c r="BY111" s="29" t="s">
        <v>735</v>
      </c>
    </row>
    <row r="112" spans="1:80" ht="4.5" customHeight="1" x14ac:dyDescent="0.25">
      <c r="A112" s="127"/>
      <c r="B112" s="127"/>
      <c r="C112" s="127"/>
      <c r="D112" s="128"/>
      <c r="E112" s="127"/>
      <c r="F112" s="129"/>
      <c r="G112" s="130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3"/>
      <c r="AS112" s="134"/>
      <c r="AT112" s="135"/>
      <c r="AU112" s="135"/>
      <c r="AV112" s="135"/>
      <c r="AW112" s="135"/>
      <c r="AX112" s="136"/>
      <c r="AY112" s="136"/>
      <c r="AZ112" s="137"/>
      <c r="BA112" s="137"/>
      <c r="BB112" s="137"/>
      <c r="BC112" s="137"/>
      <c r="BD112" s="137"/>
      <c r="BE112" s="137"/>
      <c r="BF112" s="138"/>
      <c r="BG112" s="138"/>
      <c r="BH112" s="138"/>
      <c r="BI112" s="138"/>
      <c r="BJ112" s="138"/>
      <c r="BK112" s="139"/>
      <c r="BL112" s="140"/>
      <c r="BM112" s="140"/>
      <c r="BN112" s="140"/>
      <c r="BO112" s="141"/>
      <c r="BP112" s="141"/>
      <c r="BQ112" s="141"/>
      <c r="BR112" s="142"/>
      <c r="BS112" s="142"/>
      <c r="BT112" s="142"/>
      <c r="BU112" s="142"/>
      <c r="BV112" s="142"/>
      <c r="BW112" s="142"/>
      <c r="BX112" s="142"/>
      <c r="BY112" s="142"/>
      <c r="BZ112" s="8"/>
      <c r="CA112" s="8"/>
      <c r="CB112" s="8"/>
    </row>
    <row r="113" spans="1:88" s="1" customFormat="1" ht="30" customHeight="1" x14ac:dyDescent="0.25">
      <c r="A113" s="187">
        <v>42264</v>
      </c>
      <c r="B113" s="109" t="s">
        <v>14</v>
      </c>
      <c r="C113" s="32" t="s">
        <v>1071</v>
      </c>
      <c r="D113" s="109" t="s">
        <v>60</v>
      </c>
      <c r="E113" s="211" t="s">
        <v>1072</v>
      </c>
      <c r="F113" s="211" t="s">
        <v>1073</v>
      </c>
      <c r="G113" s="177"/>
      <c r="H113" s="47"/>
      <c r="I113" s="109"/>
      <c r="J113" s="109"/>
      <c r="K113" s="27"/>
      <c r="L113" s="28"/>
      <c r="M113" s="28"/>
      <c r="N113" s="28"/>
      <c r="O113" s="35"/>
      <c r="P113" s="35"/>
      <c r="Q113" s="35"/>
      <c r="R113" s="35"/>
      <c r="S113" s="35"/>
      <c r="T113" s="35"/>
      <c r="U113" s="27" t="s">
        <v>1074</v>
      </c>
      <c r="V113" s="34"/>
      <c r="W113" s="27"/>
      <c r="X113" s="34"/>
      <c r="Y113" s="32"/>
      <c r="Z113" s="34"/>
      <c r="AA113" s="27" t="s">
        <v>1075</v>
      </c>
      <c r="AB113" s="41"/>
      <c r="AC113" s="109"/>
      <c r="AD113" s="41"/>
      <c r="AE113" s="109"/>
      <c r="AF113" s="109"/>
      <c r="AG113" s="109"/>
      <c r="AH113" s="109"/>
      <c r="AI113" s="109"/>
      <c r="AJ113" s="109"/>
      <c r="AK113" s="109"/>
      <c r="AL113" s="32"/>
      <c r="AM113" s="109"/>
      <c r="AN113" s="109"/>
      <c r="AO113" s="109"/>
      <c r="AP113" s="109"/>
      <c r="AQ113" s="27" t="s">
        <v>1076</v>
      </c>
      <c r="AR113" s="27">
        <v>55.36</v>
      </c>
      <c r="AS113" s="159"/>
      <c r="AT113" s="191"/>
      <c r="AU113" s="192"/>
      <c r="AV113" s="193"/>
      <c r="AW113" s="193"/>
      <c r="AX113" s="193" t="s">
        <v>1077</v>
      </c>
      <c r="AY113" s="212">
        <v>10038568739817</v>
      </c>
      <c r="AZ113" s="194"/>
      <c r="BA113" s="194"/>
      <c r="BB113" s="194"/>
      <c r="BC113" s="194"/>
      <c r="BD113" s="194"/>
      <c r="BE113" s="194"/>
      <c r="BF113" s="213">
        <f>3.81+(0.125*2)</f>
        <v>4.0600000000000005</v>
      </c>
      <c r="BG113" s="213">
        <f>3.81+(0.125*2)</f>
        <v>4.0600000000000005</v>
      </c>
      <c r="BH113" s="213">
        <f>5.37+(0.125*4)</f>
        <v>5.87</v>
      </c>
      <c r="BI113" s="145">
        <f>(BH113*BG113*BF113)/1728</f>
        <v>5.5994636574074087E-2</v>
      </c>
      <c r="BJ113" s="214">
        <f>1.5+0.25</f>
        <v>1.75</v>
      </c>
      <c r="BK113" s="467" t="s">
        <v>989</v>
      </c>
      <c r="BL113" s="468"/>
      <c r="BM113" s="468"/>
      <c r="BN113" s="468"/>
      <c r="BO113" s="469"/>
      <c r="BP113" s="368"/>
      <c r="BQ113" s="368"/>
      <c r="BR113" s="109" t="s">
        <v>797</v>
      </c>
      <c r="BS113" s="109">
        <v>1</v>
      </c>
      <c r="BT113" s="109">
        <v>99</v>
      </c>
      <c r="BU113" s="109">
        <v>6</v>
      </c>
      <c r="BV113" s="215">
        <f t="shared" ref="BV113:BV125" si="33">BS113*BT113*BU113</f>
        <v>594</v>
      </c>
      <c r="BW113" s="215">
        <f>(BJ113*BV113)+50</f>
        <v>1089.5</v>
      </c>
      <c r="BX113" s="109" t="s">
        <v>743</v>
      </c>
      <c r="BY113" s="215" t="s">
        <v>735</v>
      </c>
    </row>
    <row r="114" spans="1:88" s="1" customFormat="1" ht="15" customHeight="1" x14ac:dyDescent="0.25">
      <c r="A114" s="187">
        <v>42264</v>
      </c>
      <c r="B114" s="109" t="s">
        <v>14</v>
      </c>
      <c r="C114" s="32" t="s">
        <v>1078</v>
      </c>
      <c r="D114" s="109" t="s">
        <v>60</v>
      </c>
      <c r="E114" s="216" t="s">
        <v>1079</v>
      </c>
      <c r="F114" s="28" t="s">
        <v>1080</v>
      </c>
      <c r="G114" s="177" t="s">
        <v>1081</v>
      </c>
      <c r="H114" s="28">
        <v>504082382</v>
      </c>
      <c r="I114" s="109"/>
      <c r="J114" s="109"/>
      <c r="K114" s="27"/>
      <c r="L114" s="28"/>
      <c r="M114" s="28"/>
      <c r="N114" s="28"/>
      <c r="O114" s="35"/>
      <c r="P114" s="35"/>
      <c r="Q114" s="35"/>
      <c r="R114" s="35"/>
      <c r="S114" s="35"/>
      <c r="T114" s="35"/>
      <c r="U114" s="27"/>
      <c r="V114" s="34"/>
      <c r="W114" s="27"/>
      <c r="X114" s="34"/>
      <c r="Y114" s="32"/>
      <c r="Z114" s="34"/>
      <c r="AA114" s="27"/>
      <c r="AB114" s="41"/>
      <c r="AC114" s="109"/>
      <c r="AD114" s="41"/>
      <c r="AE114" s="109"/>
      <c r="AF114" s="109"/>
      <c r="AG114" s="109"/>
      <c r="AH114" s="109"/>
      <c r="AI114" s="109"/>
      <c r="AJ114" s="109"/>
      <c r="AK114" s="109"/>
      <c r="AL114" s="32"/>
      <c r="AM114" s="109"/>
      <c r="AN114" s="109"/>
      <c r="AO114" s="109"/>
      <c r="AP114" s="109"/>
      <c r="AQ114" s="27"/>
      <c r="AR114" s="27">
        <v>35.159999999999997</v>
      </c>
      <c r="AS114" s="159">
        <v>1</v>
      </c>
      <c r="AT114" s="191">
        <v>1.25</v>
      </c>
      <c r="AU114" s="192">
        <v>0.85</v>
      </c>
      <c r="AV114" s="197">
        <v>0.9</v>
      </c>
      <c r="AW114" s="197"/>
      <c r="AX114" s="193" t="s">
        <v>1082</v>
      </c>
      <c r="AY114" s="212">
        <v>10038568738155</v>
      </c>
      <c r="AZ114" s="194"/>
      <c r="BA114" s="194"/>
      <c r="BB114" s="194"/>
      <c r="BC114" s="198">
        <v>4.2300000000000004</v>
      </c>
      <c r="BD114" s="198">
        <v>9.07</v>
      </c>
      <c r="BE114" s="198">
        <v>3.63</v>
      </c>
      <c r="BF114" s="467" t="s">
        <v>989</v>
      </c>
      <c r="BG114" s="468"/>
      <c r="BH114" s="468"/>
      <c r="BI114" s="468"/>
      <c r="BJ114" s="469"/>
      <c r="BK114" s="217">
        <f>14.62+(0.125*2)</f>
        <v>14.87</v>
      </c>
      <c r="BL114" s="217">
        <f>9.75+(0.125*2)</f>
        <v>10</v>
      </c>
      <c r="BM114" s="217">
        <f>10+(0.125*4)</f>
        <v>10.5</v>
      </c>
      <c r="BN114" s="145">
        <f t="shared" ref="BN114:BN125" si="34">(BM114*BL114*BK114)/1728</f>
        <v>0.90355902777777775</v>
      </c>
      <c r="BO114" s="214">
        <f>(2.44*6)+0.25</f>
        <v>14.89</v>
      </c>
      <c r="BP114" s="214"/>
      <c r="BQ114" s="214"/>
      <c r="BR114" s="109" t="s">
        <v>797</v>
      </c>
      <c r="BS114" s="109">
        <v>6</v>
      </c>
      <c r="BT114" s="109">
        <v>12</v>
      </c>
      <c r="BU114" s="109">
        <v>4</v>
      </c>
      <c r="BV114" s="215">
        <f t="shared" si="33"/>
        <v>288</v>
      </c>
      <c r="BW114" s="215">
        <f>(2.44*BV114)+50+ (48*0.25)</f>
        <v>764.72</v>
      </c>
      <c r="BX114" s="109" t="s">
        <v>890</v>
      </c>
      <c r="BY114" s="215" t="s">
        <v>735</v>
      </c>
    </row>
    <row r="115" spans="1:88" s="1" customFormat="1" ht="30" x14ac:dyDescent="0.25">
      <c r="A115" s="187">
        <v>42264</v>
      </c>
      <c r="B115" s="109" t="s">
        <v>14</v>
      </c>
      <c r="C115" s="32" t="s">
        <v>1083</v>
      </c>
      <c r="D115" s="109" t="s">
        <v>60</v>
      </c>
      <c r="E115" s="216" t="s">
        <v>1084</v>
      </c>
      <c r="F115" s="211" t="s">
        <v>1085</v>
      </c>
      <c r="G115" s="218" t="s">
        <v>1086</v>
      </c>
      <c r="H115" s="109">
        <v>3619555</v>
      </c>
      <c r="I115" s="109"/>
      <c r="J115" s="109"/>
      <c r="K115" s="27"/>
      <c r="L115" s="28"/>
      <c r="M115" s="28"/>
      <c r="N115" s="28"/>
      <c r="O115" s="35"/>
      <c r="P115" s="35"/>
      <c r="Q115" s="35"/>
      <c r="R115" s="35"/>
      <c r="S115" s="35"/>
      <c r="T115" s="35"/>
      <c r="U115" s="27" t="s">
        <v>1087</v>
      </c>
      <c r="V115" s="34"/>
      <c r="W115" s="27"/>
      <c r="X115" s="34"/>
      <c r="Y115" s="32" t="s">
        <v>1088</v>
      </c>
      <c r="Z115" s="34"/>
      <c r="AA115" s="27" t="s">
        <v>1089</v>
      </c>
      <c r="AB115" s="41"/>
      <c r="AC115" s="109"/>
      <c r="AD115" s="41"/>
      <c r="AE115" s="109"/>
      <c r="AF115" s="109"/>
      <c r="AG115" s="109"/>
      <c r="AH115" s="109"/>
      <c r="AI115" s="109"/>
      <c r="AJ115" s="109"/>
      <c r="AK115" s="109"/>
      <c r="AL115" s="32"/>
      <c r="AM115" s="109"/>
      <c r="AN115" s="109"/>
      <c r="AO115" s="109"/>
      <c r="AP115" s="109"/>
      <c r="AQ115" s="27" t="s">
        <v>1090</v>
      </c>
      <c r="AR115" s="27">
        <v>38.93</v>
      </c>
      <c r="AS115" s="159">
        <v>0.5</v>
      </c>
      <c r="AT115" s="191">
        <v>0.55000000000000004</v>
      </c>
      <c r="AU115" s="192">
        <v>0.35</v>
      </c>
      <c r="AV115" s="197">
        <v>0.38</v>
      </c>
      <c r="AW115" s="197"/>
      <c r="AX115" s="193" t="s">
        <v>1091</v>
      </c>
      <c r="AY115" s="212">
        <v>10038568740424</v>
      </c>
      <c r="AZ115" s="194"/>
      <c r="BA115" s="194"/>
      <c r="BB115" s="194"/>
      <c r="BC115" s="198">
        <v>3.46</v>
      </c>
      <c r="BD115" s="198">
        <v>7.7</v>
      </c>
      <c r="BE115" s="194"/>
      <c r="BF115" s="213">
        <f>3.81+(0.018*2)</f>
        <v>3.8460000000000001</v>
      </c>
      <c r="BG115" s="213">
        <f>3.81+(0.018*2)</f>
        <v>3.8460000000000001</v>
      </c>
      <c r="BH115" s="213">
        <f>8+(0.018*4)</f>
        <v>8.0719999999999992</v>
      </c>
      <c r="BI115" s="145">
        <f t="shared" ref="BI115:BI136" si="35">(BH115*BG115*BF115)/1728</f>
        <v>6.9096488166666664E-2</v>
      </c>
      <c r="BJ115" s="214">
        <f>1.15+0.25</f>
        <v>1.4</v>
      </c>
      <c r="BK115" s="217">
        <f>11.68+(0.125*2)</f>
        <v>11.93</v>
      </c>
      <c r="BL115" s="217">
        <f>8.12+(0.125*2)</f>
        <v>8.3699999999999992</v>
      </c>
      <c r="BM115" s="217">
        <f>8.12+(0.125*4)</f>
        <v>8.6199999999999992</v>
      </c>
      <c r="BN115" s="145">
        <f t="shared" si="34"/>
        <v>0.49811478124999986</v>
      </c>
      <c r="BO115" s="214">
        <f>(BJ115*6)+0.25</f>
        <v>8.6499999999999986</v>
      </c>
      <c r="BP115" s="214"/>
      <c r="BQ115" s="214"/>
      <c r="BR115" s="109" t="s">
        <v>797</v>
      </c>
      <c r="BS115" s="109">
        <v>6</v>
      </c>
      <c r="BT115" s="109">
        <v>17</v>
      </c>
      <c r="BU115" s="109">
        <v>5</v>
      </c>
      <c r="BV115" s="215">
        <f t="shared" si="33"/>
        <v>510</v>
      </c>
      <c r="BW115" s="215">
        <f>(BJ115*BV115)+50</f>
        <v>764</v>
      </c>
      <c r="BX115" s="109" t="s">
        <v>890</v>
      </c>
      <c r="BY115" s="215" t="s">
        <v>735</v>
      </c>
    </row>
    <row r="116" spans="1:88" s="1" customFormat="1" x14ac:dyDescent="0.25">
      <c r="A116" s="187">
        <v>42264</v>
      </c>
      <c r="B116" s="109" t="s">
        <v>14</v>
      </c>
      <c r="C116" s="32" t="s">
        <v>1092</v>
      </c>
      <c r="D116" s="109" t="s">
        <v>746</v>
      </c>
      <c r="E116" s="216" t="s">
        <v>1079</v>
      </c>
      <c r="F116" s="28" t="s">
        <v>1093</v>
      </c>
      <c r="G116" s="177" t="s">
        <v>769</v>
      </c>
      <c r="H116" s="28" t="s">
        <v>1094</v>
      </c>
      <c r="I116" s="109"/>
      <c r="J116" s="109"/>
      <c r="K116" s="27"/>
      <c r="L116" s="28"/>
      <c r="M116" s="28"/>
      <c r="N116" s="28"/>
      <c r="O116" s="35"/>
      <c r="P116" s="35"/>
      <c r="Q116" s="35"/>
      <c r="R116" s="35"/>
      <c r="S116" s="35"/>
      <c r="T116" s="35"/>
      <c r="U116" s="27"/>
      <c r="V116" s="34"/>
      <c r="W116" s="27"/>
      <c r="X116" s="34"/>
      <c r="Y116" s="32"/>
      <c r="Z116" s="34"/>
      <c r="AA116" s="27"/>
      <c r="AB116" s="27"/>
      <c r="AC116" s="109"/>
      <c r="AD116" s="41"/>
      <c r="AE116" s="109"/>
      <c r="AF116" s="109"/>
      <c r="AG116" s="109"/>
      <c r="AH116" s="109"/>
      <c r="AI116" s="109"/>
      <c r="AJ116" s="109"/>
      <c r="AK116" s="109"/>
      <c r="AL116" s="32" t="s">
        <v>1095</v>
      </c>
      <c r="AM116" s="109" t="s">
        <v>1096</v>
      </c>
      <c r="AN116" s="109" t="s">
        <v>1097</v>
      </c>
      <c r="AO116" s="109"/>
      <c r="AP116" s="109"/>
      <c r="AQ116" s="27" t="s">
        <v>1098</v>
      </c>
      <c r="AR116" s="27">
        <v>13.9</v>
      </c>
      <c r="AS116" s="159">
        <v>0.5</v>
      </c>
      <c r="AT116" s="191">
        <v>0.55000000000000004</v>
      </c>
      <c r="AU116" s="192">
        <v>0.35</v>
      </c>
      <c r="AV116" s="197">
        <v>0.38</v>
      </c>
      <c r="AW116" s="197">
        <v>0.5</v>
      </c>
      <c r="AX116" s="193" t="s">
        <v>1099</v>
      </c>
      <c r="AY116" s="212">
        <v>10038568743012</v>
      </c>
      <c r="AZ116" s="194"/>
      <c r="BA116" s="194"/>
      <c r="BB116" s="194"/>
      <c r="BC116" s="198">
        <v>5.39</v>
      </c>
      <c r="BD116" s="198">
        <v>1.94</v>
      </c>
      <c r="BE116" s="194"/>
      <c r="BF116" s="219">
        <f>2.312+(0.018*2)</f>
        <v>2.3479999999999999</v>
      </c>
      <c r="BG116" s="220">
        <f>2.312+(0.018*2)</f>
        <v>2.3479999999999999</v>
      </c>
      <c r="BH116" s="220">
        <f>5.75+(0.018*4)</f>
        <v>5.8220000000000001</v>
      </c>
      <c r="BI116" s="221">
        <f t="shared" si="35"/>
        <v>1.8574821462962961E-2</v>
      </c>
      <c r="BJ116" s="222">
        <f>0.115+0.1</f>
        <v>0.21500000000000002</v>
      </c>
      <c r="BK116" s="217">
        <f>10+(0.125*2)</f>
        <v>10.25</v>
      </c>
      <c r="BL116" s="217">
        <f>7.5+(0.125*2)</f>
        <v>7.75</v>
      </c>
      <c r="BM116" s="217">
        <f>6.62+(0.125*4)</f>
        <v>7.12</v>
      </c>
      <c r="BN116" s="145">
        <f t="shared" si="34"/>
        <v>0.32731192129629633</v>
      </c>
      <c r="BO116" s="214">
        <f>(BJ116*12)+0.25</f>
        <v>2.83</v>
      </c>
      <c r="BP116" s="214"/>
      <c r="BQ116" s="214"/>
      <c r="BR116" s="109" t="s">
        <v>733</v>
      </c>
      <c r="BS116" s="109">
        <v>12</v>
      </c>
      <c r="BT116" s="109">
        <v>22</v>
      </c>
      <c r="BU116" s="109">
        <v>6</v>
      </c>
      <c r="BV116" s="215">
        <f t="shared" si="33"/>
        <v>1584</v>
      </c>
      <c r="BW116" s="215">
        <f t="shared" ref="BW116:BW125" si="36">(BO116*BT116*BU116)+50</f>
        <v>423.56000000000006</v>
      </c>
      <c r="BX116" s="109" t="s">
        <v>890</v>
      </c>
      <c r="BY116" s="215" t="s">
        <v>735</v>
      </c>
    </row>
    <row r="117" spans="1:88" s="1" customFormat="1" x14ac:dyDescent="0.25">
      <c r="A117" s="187">
        <v>42264</v>
      </c>
      <c r="B117" s="109" t="s">
        <v>14</v>
      </c>
      <c r="C117" s="32" t="s">
        <v>1100</v>
      </c>
      <c r="D117" s="109" t="s">
        <v>746</v>
      </c>
      <c r="E117" s="216" t="s">
        <v>1101</v>
      </c>
      <c r="F117" s="109" t="s">
        <v>1102</v>
      </c>
      <c r="G117" s="177" t="s">
        <v>802</v>
      </c>
      <c r="H117" s="109" t="s">
        <v>1103</v>
      </c>
      <c r="I117" s="109"/>
      <c r="J117" s="109"/>
      <c r="K117" s="27"/>
      <c r="L117" s="28"/>
      <c r="M117" s="28"/>
      <c r="N117" s="28"/>
      <c r="O117" s="35"/>
      <c r="P117" s="35"/>
      <c r="Q117" s="35"/>
      <c r="R117" s="35"/>
      <c r="S117" s="35"/>
      <c r="T117" s="35"/>
      <c r="U117" s="77"/>
      <c r="V117" s="34"/>
      <c r="W117" s="27"/>
      <c r="X117" s="34"/>
      <c r="Y117" s="32"/>
      <c r="Z117" s="34"/>
      <c r="AA117" s="27"/>
      <c r="AB117" s="78" t="s">
        <v>1104</v>
      </c>
      <c r="AC117" s="109"/>
      <c r="AD117" s="41"/>
      <c r="AE117" s="109" t="s">
        <v>1105</v>
      </c>
      <c r="AF117" s="109"/>
      <c r="AG117" s="109"/>
      <c r="AH117" s="109"/>
      <c r="AI117" s="109"/>
      <c r="AJ117" s="109"/>
      <c r="AK117" s="109"/>
      <c r="AL117" s="32"/>
      <c r="AM117" s="109" t="s">
        <v>1106</v>
      </c>
      <c r="AN117" s="109" t="s">
        <v>1107</v>
      </c>
      <c r="AO117" s="109"/>
      <c r="AP117" s="109" t="s">
        <v>1107</v>
      </c>
      <c r="AQ117" s="27"/>
      <c r="AR117" s="27">
        <v>56.55</v>
      </c>
      <c r="AS117" s="159"/>
      <c r="AT117" s="191"/>
      <c r="AU117" s="192"/>
      <c r="AV117" s="197"/>
      <c r="AW117" s="197"/>
      <c r="AX117" s="193" t="s">
        <v>1108</v>
      </c>
      <c r="AY117" s="212">
        <v>10038568742459</v>
      </c>
      <c r="AZ117" s="198">
        <v>12.42</v>
      </c>
      <c r="BA117" s="198">
        <v>13.27</v>
      </c>
      <c r="BB117" s="198">
        <v>1.34</v>
      </c>
      <c r="BC117" s="194"/>
      <c r="BD117" s="194"/>
      <c r="BE117" s="194"/>
      <c r="BF117" s="213">
        <f>13.31+(0.018*2)</f>
        <v>13.346</v>
      </c>
      <c r="BG117" s="213">
        <f>2.87+(0.018*2)</f>
        <v>2.9060000000000001</v>
      </c>
      <c r="BH117" s="213">
        <f>13.31+(0.018*4)</f>
        <v>13.382</v>
      </c>
      <c r="BI117" s="145">
        <f t="shared" si="35"/>
        <v>0.30034749758796297</v>
      </c>
      <c r="BJ117" s="214">
        <f>0.908+0.1</f>
        <v>1.008</v>
      </c>
      <c r="BK117" s="217">
        <f>14.25+(0.125*2)</f>
        <v>14.5</v>
      </c>
      <c r="BL117" s="217">
        <f>13.5+(0.125*2)</f>
        <v>13.75</v>
      </c>
      <c r="BM117" s="217">
        <f>9+(0.125*4)</f>
        <v>9.5</v>
      </c>
      <c r="BN117" s="145">
        <f t="shared" si="34"/>
        <v>1.0961009837962963</v>
      </c>
      <c r="BO117" s="214">
        <f>(BJ117*3)+0.25</f>
        <v>3.274</v>
      </c>
      <c r="BP117" s="214"/>
      <c r="BQ117" s="214"/>
      <c r="BR117" s="109" t="s">
        <v>797</v>
      </c>
      <c r="BS117" s="109">
        <v>3</v>
      </c>
      <c r="BT117" s="109">
        <v>6</v>
      </c>
      <c r="BU117" s="109">
        <v>4</v>
      </c>
      <c r="BV117" s="215">
        <f t="shared" si="33"/>
        <v>72</v>
      </c>
      <c r="BW117" s="215">
        <f t="shared" si="36"/>
        <v>128.57599999999999</v>
      </c>
      <c r="BX117" s="109" t="s">
        <v>955</v>
      </c>
      <c r="BY117" s="215" t="s">
        <v>735</v>
      </c>
    </row>
    <row r="118" spans="1:88" s="1" customFormat="1" x14ac:dyDescent="0.25">
      <c r="A118" s="187">
        <v>42264</v>
      </c>
      <c r="B118" s="109" t="s">
        <v>14</v>
      </c>
      <c r="C118" s="32" t="s">
        <v>1109</v>
      </c>
      <c r="D118" s="109" t="s">
        <v>746</v>
      </c>
      <c r="E118" s="216" t="s">
        <v>1110</v>
      </c>
      <c r="F118" s="109" t="s">
        <v>1111</v>
      </c>
      <c r="G118" s="177" t="s">
        <v>967</v>
      </c>
      <c r="H118" s="109" t="s">
        <v>1112</v>
      </c>
      <c r="I118" s="109"/>
      <c r="J118" s="109"/>
      <c r="K118" s="27"/>
      <c r="L118" s="28"/>
      <c r="M118" s="28"/>
      <c r="N118" s="28"/>
      <c r="O118" s="35"/>
      <c r="P118" s="35"/>
      <c r="Q118" s="35"/>
      <c r="R118" s="35"/>
      <c r="S118" s="35"/>
      <c r="T118" s="35"/>
      <c r="U118" s="27" t="s">
        <v>1113</v>
      </c>
      <c r="V118" s="34"/>
      <c r="W118" s="27"/>
      <c r="X118" s="34"/>
      <c r="Y118" s="32"/>
      <c r="Z118" s="34"/>
      <c r="AA118" s="27"/>
      <c r="AB118" s="27"/>
      <c r="AC118" s="109"/>
      <c r="AD118" s="41"/>
      <c r="AE118" s="109"/>
      <c r="AF118" s="109"/>
      <c r="AG118" s="109"/>
      <c r="AH118" s="109"/>
      <c r="AI118" s="109"/>
      <c r="AJ118" s="109"/>
      <c r="AK118" s="109"/>
      <c r="AL118" s="32"/>
      <c r="AM118" s="109"/>
      <c r="AN118" s="109"/>
      <c r="AO118" s="109"/>
      <c r="AP118" s="109"/>
      <c r="AQ118" s="27"/>
      <c r="AR118" s="27">
        <v>16.34</v>
      </c>
      <c r="AS118" s="159"/>
      <c r="AT118" s="191"/>
      <c r="AU118" s="192"/>
      <c r="AV118" s="197"/>
      <c r="AW118" s="197"/>
      <c r="AX118" s="193" t="s">
        <v>1114</v>
      </c>
      <c r="AY118" s="212">
        <v>10038568743234</v>
      </c>
      <c r="AZ118" s="198">
        <v>5.98</v>
      </c>
      <c r="BA118" s="198">
        <v>2.91</v>
      </c>
      <c r="BB118" s="198">
        <v>0.79</v>
      </c>
      <c r="BC118" s="194"/>
      <c r="BD118" s="194"/>
      <c r="BE118" s="194"/>
      <c r="BF118" s="213">
        <f>3.15+(0.018*2)</f>
        <v>3.1859999999999999</v>
      </c>
      <c r="BG118" s="213">
        <f>3.15+(0.018*2)</f>
        <v>3.1859999999999999</v>
      </c>
      <c r="BH118" s="213">
        <f>6+(0.018*4)</f>
        <v>6.0720000000000001</v>
      </c>
      <c r="BI118" s="145">
        <f t="shared" si="35"/>
        <v>3.5668066499999998E-2</v>
      </c>
      <c r="BJ118" s="214">
        <f>0.07+0.1</f>
        <v>0.17</v>
      </c>
      <c r="BK118" s="217">
        <f>9.75+(0.125*2)</f>
        <v>10</v>
      </c>
      <c r="BL118" s="217">
        <f>6.5+(0.125*2)</f>
        <v>6.75</v>
      </c>
      <c r="BM118" s="217">
        <f>6.12+(0.125*4)</f>
        <v>6.62</v>
      </c>
      <c r="BN118" s="145">
        <f t="shared" si="34"/>
        <v>0.25859375000000001</v>
      </c>
      <c r="BO118" s="214">
        <f t="shared" ref="BO118:BO124" si="37">(BJ118*6)+0.25</f>
        <v>1.27</v>
      </c>
      <c r="BP118" s="214"/>
      <c r="BQ118" s="214"/>
      <c r="BR118" s="109" t="s">
        <v>797</v>
      </c>
      <c r="BS118" s="109">
        <v>6</v>
      </c>
      <c r="BT118" s="109">
        <v>26</v>
      </c>
      <c r="BU118" s="109">
        <v>6</v>
      </c>
      <c r="BV118" s="215">
        <f t="shared" si="33"/>
        <v>936</v>
      </c>
      <c r="BW118" s="215">
        <f t="shared" si="36"/>
        <v>248.12</v>
      </c>
      <c r="BX118" s="109" t="s">
        <v>743</v>
      </c>
      <c r="BY118" s="215" t="s">
        <v>735</v>
      </c>
    </row>
    <row r="119" spans="1:88" s="1" customFormat="1" x14ac:dyDescent="0.25">
      <c r="A119" s="187">
        <v>42264</v>
      </c>
      <c r="B119" s="109" t="s">
        <v>14</v>
      </c>
      <c r="C119" s="32" t="s">
        <v>1115</v>
      </c>
      <c r="D119" s="109" t="s">
        <v>746</v>
      </c>
      <c r="E119" s="216" t="s">
        <v>1110</v>
      </c>
      <c r="F119" s="109" t="s">
        <v>1116</v>
      </c>
      <c r="G119" s="177" t="s">
        <v>769</v>
      </c>
      <c r="H119" s="109">
        <v>64319159606</v>
      </c>
      <c r="I119" s="109"/>
      <c r="J119" s="109"/>
      <c r="K119" s="27"/>
      <c r="L119" s="28"/>
      <c r="M119" s="28"/>
      <c r="N119" s="28"/>
      <c r="O119" s="35"/>
      <c r="P119" s="35"/>
      <c r="Q119" s="35"/>
      <c r="R119" s="35"/>
      <c r="S119" s="35"/>
      <c r="T119" s="35"/>
      <c r="U119" s="27"/>
      <c r="V119" s="34"/>
      <c r="W119" s="27"/>
      <c r="X119" s="34"/>
      <c r="Y119" s="32"/>
      <c r="Z119" s="34"/>
      <c r="AA119" s="27"/>
      <c r="AB119" s="41"/>
      <c r="AC119" s="109"/>
      <c r="AD119" s="41"/>
      <c r="AE119" s="109"/>
      <c r="AF119" s="109"/>
      <c r="AG119" s="109"/>
      <c r="AH119" s="109"/>
      <c r="AI119" s="109"/>
      <c r="AJ119" s="109"/>
      <c r="AK119" s="109"/>
      <c r="AL119" s="32"/>
      <c r="AM119" s="109"/>
      <c r="AN119" s="109"/>
      <c r="AO119" s="109"/>
      <c r="AP119" s="109"/>
      <c r="AQ119" s="27"/>
      <c r="AR119" s="27">
        <v>63.87</v>
      </c>
      <c r="AS119" s="159"/>
      <c r="AT119" s="191"/>
      <c r="AU119" s="192"/>
      <c r="AV119" s="197"/>
      <c r="AW119" s="197"/>
      <c r="AX119" s="193" t="s">
        <v>1117</v>
      </c>
      <c r="AY119" s="212">
        <v>10038568743456</v>
      </c>
      <c r="AZ119" s="198">
        <v>8.6199999999999992</v>
      </c>
      <c r="BA119" s="198">
        <v>3.76</v>
      </c>
      <c r="BB119" s="198">
        <v>0.87</v>
      </c>
      <c r="BC119" s="194"/>
      <c r="BD119" s="194"/>
      <c r="BE119" s="194"/>
      <c r="BF119" s="213">
        <f>5.59+(0.018*2)</f>
        <v>5.6259999999999994</v>
      </c>
      <c r="BG119" s="213">
        <f>2+(0.018*2)</f>
        <v>2.036</v>
      </c>
      <c r="BH119" s="213">
        <f>9.62+(0.018*4)</f>
        <v>9.6919999999999984</v>
      </c>
      <c r="BI119" s="145">
        <f t="shared" si="35"/>
        <v>6.424615909259257E-2</v>
      </c>
      <c r="BJ119" s="214">
        <f>0.56+0.1</f>
        <v>0.66</v>
      </c>
      <c r="BK119" s="217">
        <f>13+(0.125*2)</f>
        <v>13.25</v>
      </c>
      <c r="BL119" s="217">
        <f>9.75+(0.125*2)</f>
        <v>10</v>
      </c>
      <c r="BM119" s="217">
        <f>5.75+(0.125*4)</f>
        <v>6.25</v>
      </c>
      <c r="BN119" s="145">
        <f t="shared" si="34"/>
        <v>0.47923900462962965</v>
      </c>
      <c r="BO119" s="214">
        <f t="shared" si="37"/>
        <v>4.21</v>
      </c>
      <c r="BP119" s="214"/>
      <c r="BQ119" s="214"/>
      <c r="BR119" s="109" t="s">
        <v>797</v>
      </c>
      <c r="BS119" s="109">
        <v>6</v>
      </c>
      <c r="BT119" s="109">
        <v>14</v>
      </c>
      <c r="BU119" s="109">
        <v>7</v>
      </c>
      <c r="BV119" s="215">
        <f t="shared" si="33"/>
        <v>588</v>
      </c>
      <c r="BW119" s="215">
        <f t="shared" si="36"/>
        <v>462.58</v>
      </c>
      <c r="BX119" s="109" t="s">
        <v>743</v>
      </c>
      <c r="BY119" s="215" t="s">
        <v>735</v>
      </c>
    </row>
    <row r="120" spans="1:88" s="1" customFormat="1" ht="30" x14ac:dyDescent="0.25">
      <c r="A120" s="187">
        <v>42264</v>
      </c>
      <c r="B120" s="109" t="s">
        <v>14</v>
      </c>
      <c r="C120" s="32" t="s">
        <v>1118</v>
      </c>
      <c r="D120" s="109" t="s">
        <v>746</v>
      </c>
      <c r="E120" s="216" t="s">
        <v>1110</v>
      </c>
      <c r="F120" s="223" t="s">
        <v>1119</v>
      </c>
      <c r="G120" s="177" t="s">
        <v>1120</v>
      </c>
      <c r="H120" s="109">
        <v>1648300218</v>
      </c>
      <c r="I120" s="109"/>
      <c r="J120" s="109"/>
      <c r="K120" s="27"/>
      <c r="L120" s="28"/>
      <c r="M120" s="28"/>
      <c r="N120" s="28"/>
      <c r="O120" s="35"/>
      <c r="P120" s="35"/>
      <c r="Q120" s="35"/>
      <c r="R120" s="35"/>
      <c r="S120" s="35"/>
      <c r="T120" s="35"/>
      <c r="U120" s="27"/>
      <c r="V120" s="34"/>
      <c r="W120" s="27"/>
      <c r="X120" s="34"/>
      <c r="Y120" s="32"/>
      <c r="Z120" s="34"/>
      <c r="AA120" s="27"/>
      <c r="AB120" s="41"/>
      <c r="AC120" s="109"/>
      <c r="AD120" s="41"/>
      <c r="AE120" s="109"/>
      <c r="AF120" s="109"/>
      <c r="AG120" s="109"/>
      <c r="AH120" s="109"/>
      <c r="AI120" s="109"/>
      <c r="AJ120" s="109"/>
      <c r="AK120" s="109"/>
      <c r="AL120" s="32"/>
      <c r="AM120" s="109"/>
      <c r="AN120" s="109"/>
      <c r="AO120" s="109"/>
      <c r="AP120" s="109"/>
      <c r="AQ120" s="27"/>
      <c r="AR120" s="27">
        <v>40.01</v>
      </c>
      <c r="AS120" s="159"/>
      <c r="AT120" s="191"/>
      <c r="AU120" s="192"/>
      <c r="AV120" s="197"/>
      <c r="AW120" s="197"/>
      <c r="AX120" s="193" t="s">
        <v>1121</v>
      </c>
      <c r="AY120" s="212">
        <v>10038568743548</v>
      </c>
      <c r="AZ120" s="198">
        <v>10</v>
      </c>
      <c r="BA120" s="198">
        <v>5.27</v>
      </c>
      <c r="BB120" s="198">
        <v>1.57</v>
      </c>
      <c r="BC120" s="194"/>
      <c r="BD120" s="194"/>
      <c r="BE120" s="194"/>
      <c r="BF120" s="213">
        <f>10+(0.018*2)</f>
        <v>10.036</v>
      </c>
      <c r="BG120" s="213">
        <f>2+(0.018*2)</f>
        <v>2.036</v>
      </c>
      <c r="BH120" s="213">
        <f>11.75+(0.018*4)</f>
        <v>11.821999999999999</v>
      </c>
      <c r="BI120" s="145">
        <f t="shared" si="35"/>
        <v>0.13979307020370368</v>
      </c>
      <c r="BJ120" s="214">
        <f>0.32+0.1</f>
        <v>0.42000000000000004</v>
      </c>
      <c r="BK120" s="217">
        <f>12.5+(0.125*2)</f>
        <v>12.75</v>
      </c>
      <c r="BL120" s="217">
        <f>11.12+(0.125*2)</f>
        <v>11.37</v>
      </c>
      <c r="BM120" s="217">
        <f>12.5+(0.125*4)</f>
        <v>13</v>
      </c>
      <c r="BN120" s="145">
        <f t="shared" si="34"/>
        <v>1.0906119791666666</v>
      </c>
      <c r="BO120" s="214">
        <f t="shared" si="37"/>
        <v>2.7700000000000005</v>
      </c>
      <c r="BP120" s="214"/>
      <c r="BQ120" s="214"/>
      <c r="BR120" s="109" t="s">
        <v>797</v>
      </c>
      <c r="BS120" s="109">
        <v>6</v>
      </c>
      <c r="BT120" s="109">
        <v>12</v>
      </c>
      <c r="BU120" s="109">
        <v>3</v>
      </c>
      <c r="BV120" s="215">
        <f t="shared" si="33"/>
        <v>216</v>
      </c>
      <c r="BW120" s="215">
        <f t="shared" si="36"/>
        <v>149.72000000000003</v>
      </c>
      <c r="BX120" s="109" t="s">
        <v>743</v>
      </c>
      <c r="BY120" s="215" t="s">
        <v>735</v>
      </c>
    </row>
    <row r="121" spans="1:88" s="1" customFormat="1" x14ac:dyDescent="0.25">
      <c r="A121" s="187">
        <v>42264</v>
      </c>
      <c r="B121" s="109" t="s">
        <v>14</v>
      </c>
      <c r="C121" s="32" t="s">
        <v>1122</v>
      </c>
      <c r="D121" s="109" t="s">
        <v>746</v>
      </c>
      <c r="E121" s="216" t="s">
        <v>1110</v>
      </c>
      <c r="F121" s="109" t="s">
        <v>1123</v>
      </c>
      <c r="G121" s="177" t="s">
        <v>869</v>
      </c>
      <c r="H121" s="109" t="s">
        <v>1124</v>
      </c>
      <c r="I121" s="109"/>
      <c r="J121" s="109"/>
      <c r="K121" s="27"/>
      <c r="L121" s="28"/>
      <c r="M121" s="28"/>
      <c r="N121" s="28"/>
      <c r="O121" s="35"/>
      <c r="P121" s="35"/>
      <c r="Q121" s="35"/>
      <c r="R121" s="35"/>
      <c r="S121" s="35"/>
      <c r="T121" s="35"/>
      <c r="U121" s="27"/>
      <c r="V121" s="34"/>
      <c r="W121" s="27"/>
      <c r="X121" s="34"/>
      <c r="Y121" s="32"/>
      <c r="Z121" s="34"/>
      <c r="AA121" s="27"/>
      <c r="AB121" s="41"/>
      <c r="AC121" s="109"/>
      <c r="AD121" s="41"/>
      <c r="AE121" s="109"/>
      <c r="AF121" s="109"/>
      <c r="AG121" s="109"/>
      <c r="AH121" s="109"/>
      <c r="AI121" s="109"/>
      <c r="AJ121" s="109"/>
      <c r="AK121" s="109"/>
      <c r="AL121" s="32"/>
      <c r="AM121" s="109"/>
      <c r="AN121" s="109"/>
      <c r="AO121" s="109"/>
      <c r="AP121" s="109"/>
      <c r="AQ121" s="27"/>
      <c r="AR121" s="27">
        <v>24.06</v>
      </c>
      <c r="AS121" s="159"/>
      <c r="AT121" s="191"/>
      <c r="AU121" s="192"/>
      <c r="AV121" s="197"/>
      <c r="AW121" s="197"/>
      <c r="AX121" s="193" t="s">
        <v>1125</v>
      </c>
      <c r="AY121" s="212">
        <v>10038568743203</v>
      </c>
      <c r="AZ121" s="198">
        <v>6.57</v>
      </c>
      <c r="BA121" s="198">
        <v>6.38</v>
      </c>
      <c r="BB121" s="198">
        <v>0.79</v>
      </c>
      <c r="BC121" s="194"/>
      <c r="BD121" s="194"/>
      <c r="BE121" s="194"/>
      <c r="BF121" s="213">
        <f>7.25+(0.018*2)</f>
        <v>7.2859999999999996</v>
      </c>
      <c r="BG121" s="213">
        <f>1.68+(0.018*2)</f>
        <v>1.716</v>
      </c>
      <c r="BH121" s="213">
        <f>8+(0.018*4)</f>
        <v>8.0719999999999992</v>
      </c>
      <c r="BI121" s="145">
        <f t="shared" si="35"/>
        <v>5.8404171222222211E-2</v>
      </c>
      <c r="BJ121" s="214">
        <f>0.15+0.1</f>
        <v>0.25</v>
      </c>
      <c r="BK121" s="217">
        <f>10.75+(0.125*2)</f>
        <v>11</v>
      </c>
      <c r="BL121" s="217">
        <f>7.75+(0.125*2)</f>
        <v>8</v>
      </c>
      <c r="BM121" s="217">
        <f>8.12+(0.125*4)</f>
        <v>8.6199999999999992</v>
      </c>
      <c r="BN121" s="145">
        <f t="shared" si="34"/>
        <v>0.43898148148148147</v>
      </c>
      <c r="BO121" s="214">
        <f t="shared" si="37"/>
        <v>1.75</v>
      </c>
      <c r="BP121" s="214"/>
      <c r="BQ121" s="214"/>
      <c r="BR121" s="109" t="s">
        <v>797</v>
      </c>
      <c r="BS121" s="109">
        <v>6</v>
      </c>
      <c r="BT121" s="109">
        <v>20</v>
      </c>
      <c r="BU121" s="109">
        <v>5</v>
      </c>
      <c r="BV121" s="215">
        <f t="shared" si="33"/>
        <v>600</v>
      </c>
      <c r="BW121" s="215">
        <f t="shared" si="36"/>
        <v>225</v>
      </c>
      <c r="BX121" s="109" t="s">
        <v>743</v>
      </c>
      <c r="BY121" s="215" t="s">
        <v>735</v>
      </c>
    </row>
    <row r="122" spans="1:88" s="1" customFormat="1" x14ac:dyDescent="0.25">
      <c r="A122" s="187">
        <v>42264</v>
      </c>
      <c r="B122" s="109" t="s">
        <v>14</v>
      </c>
      <c r="C122" s="32" t="s">
        <v>1027</v>
      </c>
      <c r="D122" s="109" t="s">
        <v>746</v>
      </c>
      <c r="E122" s="216" t="s">
        <v>1110</v>
      </c>
      <c r="F122" s="109" t="s">
        <v>1126</v>
      </c>
      <c r="G122" s="177" t="s">
        <v>1127</v>
      </c>
      <c r="H122" s="109" t="s">
        <v>1030</v>
      </c>
      <c r="I122" s="109"/>
      <c r="J122" s="109"/>
      <c r="K122" s="27"/>
      <c r="L122" s="28"/>
      <c r="M122" s="28"/>
      <c r="N122" s="28"/>
      <c r="O122" s="35"/>
      <c r="P122" s="35"/>
      <c r="Q122" s="35"/>
      <c r="R122" s="35"/>
      <c r="S122" s="35"/>
      <c r="T122" s="35"/>
      <c r="U122" s="27"/>
      <c r="V122" s="34"/>
      <c r="W122" s="27"/>
      <c r="X122" s="34"/>
      <c r="Y122" s="32"/>
      <c r="Z122" s="34"/>
      <c r="AA122" s="27"/>
      <c r="AB122" s="78"/>
      <c r="AC122" s="109"/>
      <c r="AD122" s="41"/>
      <c r="AE122" s="109"/>
      <c r="AF122" s="109"/>
      <c r="AG122" s="109"/>
      <c r="AH122" s="109"/>
      <c r="AI122" s="109"/>
      <c r="AJ122" s="109"/>
      <c r="AK122" s="109"/>
      <c r="AL122" s="32"/>
      <c r="AM122" s="109"/>
      <c r="AN122" s="109"/>
      <c r="AO122" s="109"/>
      <c r="AP122" s="109"/>
      <c r="AQ122" s="109" t="s">
        <v>1031</v>
      </c>
      <c r="AR122" s="109">
        <v>36.25</v>
      </c>
      <c r="AS122" s="159"/>
      <c r="AT122" s="191"/>
      <c r="AU122" s="192"/>
      <c r="AV122" s="197"/>
      <c r="AW122" s="197"/>
      <c r="AX122" s="193" t="s">
        <v>1032</v>
      </c>
      <c r="AY122" s="212">
        <v>10038568743296</v>
      </c>
      <c r="AZ122" s="198">
        <v>10.75</v>
      </c>
      <c r="BA122" s="198">
        <v>7.76</v>
      </c>
      <c r="BB122" s="198">
        <v>0.4</v>
      </c>
      <c r="BC122" s="194"/>
      <c r="BD122" s="194"/>
      <c r="BE122" s="194"/>
      <c r="BF122" s="213">
        <f>8.281+(0.018*2)</f>
        <v>8.3170000000000002</v>
      </c>
      <c r="BG122" s="213">
        <f>1.375+(0.018*2)</f>
        <v>1.411</v>
      </c>
      <c r="BH122" s="213">
        <f>8.11+(0.018*4)</f>
        <v>8.1819999999999986</v>
      </c>
      <c r="BI122" s="145">
        <f t="shared" si="35"/>
        <v>5.5566040644675928E-2</v>
      </c>
      <c r="BJ122" s="214">
        <f>0.27+0.1</f>
        <v>0.37</v>
      </c>
      <c r="BK122" s="217">
        <f>11.62+(0.125*2)</f>
        <v>11.87</v>
      </c>
      <c r="BL122" s="217">
        <f>8.75+(0.125*2)</f>
        <v>9</v>
      </c>
      <c r="BM122" s="217">
        <f>8.5+(0.125*4)</f>
        <v>9</v>
      </c>
      <c r="BN122" s="145">
        <f t="shared" si="34"/>
        <v>0.55640624999999999</v>
      </c>
      <c r="BO122" s="214">
        <f t="shared" si="37"/>
        <v>2.4699999999999998</v>
      </c>
      <c r="BP122" s="214"/>
      <c r="BQ122" s="214"/>
      <c r="BR122" s="109" t="s">
        <v>797</v>
      </c>
      <c r="BS122" s="109">
        <v>6</v>
      </c>
      <c r="BT122" s="109">
        <v>17</v>
      </c>
      <c r="BU122" s="109">
        <v>5</v>
      </c>
      <c r="BV122" s="215">
        <f t="shared" si="33"/>
        <v>510</v>
      </c>
      <c r="BW122" s="215">
        <f t="shared" si="36"/>
        <v>259.95</v>
      </c>
      <c r="BX122" s="109" t="s">
        <v>743</v>
      </c>
      <c r="BY122" s="215" t="s">
        <v>735</v>
      </c>
    </row>
    <row r="123" spans="1:88" s="1" customFormat="1" ht="30" x14ac:dyDescent="0.25">
      <c r="A123" s="187">
        <v>42264</v>
      </c>
      <c r="B123" s="109" t="s">
        <v>14</v>
      </c>
      <c r="C123" s="32" t="s">
        <v>1128</v>
      </c>
      <c r="D123" s="109" t="s">
        <v>746</v>
      </c>
      <c r="E123" s="216" t="s">
        <v>1110</v>
      </c>
      <c r="F123" s="223" t="s">
        <v>1129</v>
      </c>
      <c r="G123" s="177" t="s">
        <v>967</v>
      </c>
      <c r="H123" s="109" t="s">
        <v>1130</v>
      </c>
      <c r="I123" s="109"/>
      <c r="J123" s="109"/>
      <c r="K123" s="27"/>
      <c r="L123" s="28"/>
      <c r="M123" s="28"/>
      <c r="N123" s="28"/>
      <c r="O123" s="35"/>
      <c r="P123" s="35"/>
      <c r="Q123" s="35"/>
      <c r="R123" s="35"/>
      <c r="S123" s="35"/>
      <c r="T123" s="35"/>
      <c r="U123" s="27"/>
      <c r="V123" s="34"/>
      <c r="W123" s="27"/>
      <c r="X123" s="34"/>
      <c r="Y123" s="32"/>
      <c r="Z123" s="34"/>
      <c r="AA123" s="27"/>
      <c r="AB123" s="27" t="s">
        <v>1131</v>
      </c>
      <c r="AC123" s="109"/>
      <c r="AD123" s="41"/>
      <c r="AE123" s="109"/>
      <c r="AF123" s="109"/>
      <c r="AG123" s="109"/>
      <c r="AH123" s="109"/>
      <c r="AI123" s="109" t="s">
        <v>1128</v>
      </c>
      <c r="AJ123" s="109"/>
      <c r="AK123" s="109"/>
      <c r="AL123" s="32" t="s">
        <v>1132</v>
      </c>
      <c r="AM123" s="109"/>
      <c r="AN123" s="109" t="s">
        <v>1132</v>
      </c>
      <c r="AO123" s="109"/>
      <c r="AP123" s="109" t="s">
        <v>1133</v>
      </c>
      <c r="AQ123" s="109">
        <v>24048</v>
      </c>
      <c r="AR123" s="109">
        <v>22.44</v>
      </c>
      <c r="AS123" s="159"/>
      <c r="AT123" s="191"/>
      <c r="AU123" s="192"/>
      <c r="AV123" s="197"/>
      <c r="AW123" s="197"/>
      <c r="AX123" s="193" t="s">
        <v>1134</v>
      </c>
      <c r="AY123" s="212">
        <v>10038568743555</v>
      </c>
      <c r="AZ123" s="198">
        <v>10.94</v>
      </c>
      <c r="BA123" s="198">
        <v>7.83</v>
      </c>
      <c r="BB123" s="198">
        <v>1.18</v>
      </c>
      <c r="BC123" s="194"/>
      <c r="BD123" s="194"/>
      <c r="BE123" s="194"/>
      <c r="BF123" s="213">
        <f>8.298+(0.018*2)</f>
        <v>8.3339999999999996</v>
      </c>
      <c r="BG123" s="213">
        <f>1.375+(0.018*2)</f>
        <v>1.411</v>
      </c>
      <c r="BH123" s="213">
        <f>8.11+(0.018*4)</f>
        <v>8.1819999999999986</v>
      </c>
      <c r="BI123" s="145">
        <f t="shared" si="35"/>
        <v>5.5679617979166658E-2</v>
      </c>
      <c r="BJ123" s="214">
        <f>0.45+0.1</f>
        <v>0.55000000000000004</v>
      </c>
      <c r="BK123" s="217">
        <f>11.62+(0.125*2)</f>
        <v>11.87</v>
      </c>
      <c r="BL123" s="217">
        <f>8.75+(0.125*2)</f>
        <v>9</v>
      </c>
      <c r="BM123" s="217">
        <f>8.5+(0.125*4)</f>
        <v>9</v>
      </c>
      <c r="BN123" s="145">
        <f t="shared" si="34"/>
        <v>0.55640624999999999</v>
      </c>
      <c r="BO123" s="214">
        <f t="shared" si="37"/>
        <v>3.5500000000000003</v>
      </c>
      <c r="BP123" s="214"/>
      <c r="BQ123" s="214"/>
      <c r="BR123" s="109" t="s">
        <v>797</v>
      </c>
      <c r="BS123" s="109">
        <v>6</v>
      </c>
      <c r="BT123" s="109">
        <v>17</v>
      </c>
      <c r="BU123" s="109">
        <v>5</v>
      </c>
      <c r="BV123" s="215">
        <f t="shared" si="33"/>
        <v>510</v>
      </c>
      <c r="BW123" s="215">
        <f t="shared" si="36"/>
        <v>351.75</v>
      </c>
      <c r="BX123" s="109" t="s">
        <v>743</v>
      </c>
      <c r="BY123" s="215" t="s">
        <v>735</v>
      </c>
    </row>
    <row r="124" spans="1:88" s="1" customFormat="1" x14ac:dyDescent="0.25">
      <c r="A124" s="187">
        <v>42264</v>
      </c>
      <c r="B124" s="109" t="s">
        <v>14</v>
      </c>
      <c r="C124" s="32" t="s">
        <v>1135</v>
      </c>
      <c r="D124" s="109" t="s">
        <v>746</v>
      </c>
      <c r="E124" s="216" t="s">
        <v>1110</v>
      </c>
      <c r="F124" s="109" t="s">
        <v>1136</v>
      </c>
      <c r="G124" s="109" t="s">
        <v>1137</v>
      </c>
      <c r="H124" s="109">
        <v>5335955</v>
      </c>
      <c r="I124" s="109"/>
      <c r="J124" s="109"/>
      <c r="K124" s="27"/>
      <c r="L124" s="28"/>
      <c r="M124" s="28"/>
      <c r="N124" s="28"/>
      <c r="O124" s="35"/>
      <c r="P124" s="35"/>
      <c r="Q124" s="35"/>
      <c r="R124" s="35"/>
      <c r="S124" s="35"/>
      <c r="T124" s="35"/>
      <c r="U124" s="27"/>
      <c r="V124" s="34"/>
      <c r="W124" s="27"/>
      <c r="X124" s="34"/>
      <c r="Y124" s="32"/>
      <c r="Z124" s="34"/>
      <c r="AA124" s="27"/>
      <c r="AB124" s="41"/>
      <c r="AC124" s="109"/>
      <c r="AD124" s="41"/>
      <c r="AE124" s="109"/>
      <c r="AF124" s="109"/>
      <c r="AG124" s="109"/>
      <c r="AH124" s="109"/>
      <c r="AI124" s="109" t="s">
        <v>1138</v>
      </c>
      <c r="AJ124" s="109"/>
      <c r="AK124" s="109"/>
      <c r="AL124" s="32" t="s">
        <v>1139</v>
      </c>
      <c r="AM124" s="109" t="s">
        <v>1138</v>
      </c>
      <c r="AN124" s="109"/>
      <c r="AO124" s="109"/>
      <c r="AP124" s="109"/>
      <c r="AQ124" s="27">
        <v>49370</v>
      </c>
      <c r="AR124" s="27">
        <v>36.11</v>
      </c>
      <c r="AS124" s="159"/>
      <c r="AT124" s="191"/>
      <c r="AU124" s="192"/>
      <c r="AV124" s="197"/>
      <c r="AW124" s="197"/>
      <c r="AX124" s="193" t="s">
        <v>1140</v>
      </c>
      <c r="AY124" s="212">
        <v>10038568743418</v>
      </c>
      <c r="AZ124" s="198">
        <v>12.95</v>
      </c>
      <c r="BA124" s="198">
        <v>8.07</v>
      </c>
      <c r="BB124" s="198">
        <v>2.15</v>
      </c>
      <c r="BC124" s="194"/>
      <c r="BD124" s="194"/>
      <c r="BE124" s="194"/>
      <c r="BF124" s="213">
        <f>8.62+(0.018*2)</f>
        <v>8.6559999999999988</v>
      </c>
      <c r="BG124" s="213">
        <f>2.25+(0.018*2)</f>
        <v>2.286</v>
      </c>
      <c r="BH124" s="213">
        <f>13.87+(0.018*4)</f>
        <v>13.941999999999998</v>
      </c>
      <c r="BI124" s="145">
        <f t="shared" si="35"/>
        <v>0.15965216566666662</v>
      </c>
      <c r="BJ124" s="214">
        <f>0.85+0.1</f>
        <v>0.95</v>
      </c>
      <c r="BK124" s="217">
        <f>14.25+(0.125*2)</f>
        <v>14.5</v>
      </c>
      <c r="BL124" s="217">
        <f>14+(0.125*2)</f>
        <v>14.25</v>
      </c>
      <c r="BM124" s="217">
        <f>9+(0.125*4)</f>
        <v>9.5</v>
      </c>
      <c r="BN124" s="145">
        <f t="shared" si="34"/>
        <v>1.1359592013888888</v>
      </c>
      <c r="BO124" s="214">
        <f t="shared" si="37"/>
        <v>5.9499999999999993</v>
      </c>
      <c r="BP124" s="214"/>
      <c r="BQ124" s="214"/>
      <c r="BR124" s="109" t="s">
        <v>797</v>
      </c>
      <c r="BS124" s="109">
        <v>6</v>
      </c>
      <c r="BT124" s="109">
        <v>6</v>
      </c>
      <c r="BU124" s="109">
        <v>4</v>
      </c>
      <c r="BV124" s="215">
        <f t="shared" si="33"/>
        <v>144</v>
      </c>
      <c r="BW124" s="215">
        <f t="shared" si="36"/>
        <v>192.79999999999998</v>
      </c>
      <c r="BX124" s="109" t="s">
        <v>743</v>
      </c>
      <c r="BY124" s="215" t="s">
        <v>735</v>
      </c>
    </row>
    <row r="125" spans="1:88" s="1" customFormat="1" x14ac:dyDescent="0.25">
      <c r="A125" s="187">
        <v>42264</v>
      </c>
      <c r="B125" s="109" t="s">
        <v>14</v>
      </c>
      <c r="C125" s="32" t="s">
        <v>1052</v>
      </c>
      <c r="D125" s="109" t="s">
        <v>746</v>
      </c>
      <c r="E125" s="216" t="s">
        <v>1079</v>
      </c>
      <c r="F125" s="28" t="s">
        <v>1141</v>
      </c>
      <c r="G125" s="109" t="s">
        <v>777</v>
      </c>
      <c r="H125" s="28" t="s">
        <v>1142</v>
      </c>
      <c r="I125" s="80" t="s">
        <v>777</v>
      </c>
      <c r="J125" s="224" t="s">
        <v>1143</v>
      </c>
      <c r="K125" s="27"/>
      <c r="L125" s="28"/>
      <c r="M125" s="28"/>
      <c r="N125" s="28"/>
      <c r="O125" s="35"/>
      <c r="P125" s="35"/>
      <c r="Q125" s="35"/>
      <c r="R125" s="35"/>
      <c r="S125" s="35"/>
      <c r="T125" s="35"/>
      <c r="U125" s="27"/>
      <c r="V125" s="34"/>
      <c r="W125" s="27"/>
      <c r="X125" s="34"/>
      <c r="Y125" s="32"/>
      <c r="Z125" s="34"/>
      <c r="AA125" s="27"/>
      <c r="AB125" s="41" t="s">
        <v>1144</v>
      </c>
      <c r="AC125" s="109"/>
      <c r="AD125" s="41"/>
      <c r="AE125" s="109"/>
      <c r="AF125" s="109"/>
      <c r="AG125" s="109"/>
      <c r="AH125" s="109"/>
      <c r="AI125" s="109"/>
      <c r="AJ125" s="109"/>
      <c r="AK125" s="109"/>
      <c r="AL125" s="32" t="s">
        <v>1145</v>
      </c>
      <c r="AM125" s="109"/>
      <c r="AN125" s="109"/>
      <c r="AO125" s="109"/>
      <c r="AP125" s="109"/>
      <c r="AQ125" s="27">
        <v>57010</v>
      </c>
      <c r="AR125" s="27">
        <v>13.95</v>
      </c>
      <c r="AS125" s="159">
        <v>0.5</v>
      </c>
      <c r="AT125" s="191">
        <v>0.55000000000000004</v>
      </c>
      <c r="AU125" s="192">
        <v>0.35</v>
      </c>
      <c r="AV125" s="197">
        <v>0.38</v>
      </c>
      <c r="AW125" s="197"/>
      <c r="AX125" s="193" t="s">
        <v>1056</v>
      </c>
      <c r="AY125" s="212">
        <v>10038568743067</v>
      </c>
      <c r="AZ125" s="194"/>
      <c r="BA125" s="194"/>
      <c r="BB125" s="194"/>
      <c r="BC125" s="198">
        <v>2.5590000000000002</v>
      </c>
      <c r="BD125" s="198">
        <v>4.0549999999999997</v>
      </c>
      <c r="BE125" s="194"/>
      <c r="BF125" s="213">
        <f>2.755+(0.018*2)</f>
        <v>2.7909999999999999</v>
      </c>
      <c r="BG125" s="213">
        <f>2.755+(0.018*2)</f>
        <v>2.7909999999999999</v>
      </c>
      <c r="BH125" s="213">
        <f>4.842+(0.018*4)</f>
        <v>4.9139999999999997</v>
      </c>
      <c r="BI125" s="145">
        <f t="shared" si="35"/>
        <v>2.2151905343749997E-2</v>
      </c>
      <c r="BJ125" s="214">
        <f>0.25+0.1</f>
        <v>0.35</v>
      </c>
      <c r="BK125" s="217">
        <f>11.42+(0.125*2)</f>
        <v>11.67</v>
      </c>
      <c r="BL125" s="217">
        <f>8.66+(0.125*2)</f>
        <v>8.91</v>
      </c>
      <c r="BM125" s="217">
        <f>5.43+(0.125*4)</f>
        <v>5.93</v>
      </c>
      <c r="BN125" s="145">
        <f t="shared" si="34"/>
        <v>0.35682848437499998</v>
      </c>
      <c r="BO125" s="214">
        <f>(BJ125*12)+0.25</f>
        <v>4.4499999999999993</v>
      </c>
      <c r="BP125" s="214"/>
      <c r="BQ125" s="214"/>
      <c r="BR125" s="32" t="s">
        <v>733</v>
      </c>
      <c r="BS125" s="109">
        <v>12</v>
      </c>
      <c r="BT125" s="109">
        <v>17</v>
      </c>
      <c r="BU125" s="109">
        <v>7</v>
      </c>
      <c r="BV125" s="215">
        <f t="shared" si="33"/>
        <v>1428</v>
      </c>
      <c r="BW125" s="215">
        <f t="shared" si="36"/>
        <v>579.54999999999995</v>
      </c>
      <c r="BX125" s="109" t="s">
        <v>955</v>
      </c>
      <c r="BY125" s="215" t="s">
        <v>735</v>
      </c>
    </row>
    <row r="126" spans="1:88" s="1" customFormat="1" x14ac:dyDescent="0.25">
      <c r="A126" s="187">
        <v>42264</v>
      </c>
      <c r="B126" s="109" t="s">
        <v>14</v>
      </c>
      <c r="C126" s="32" t="s">
        <v>1146</v>
      </c>
      <c r="D126" s="109" t="s">
        <v>746</v>
      </c>
      <c r="E126" s="216" t="s">
        <v>1079</v>
      </c>
      <c r="F126" s="28" t="s">
        <v>1147</v>
      </c>
      <c r="G126" s="109" t="s">
        <v>1148</v>
      </c>
      <c r="H126" s="28" t="s">
        <v>1149</v>
      </c>
      <c r="I126" s="109"/>
      <c r="J126" s="109"/>
      <c r="K126" s="27"/>
      <c r="L126" s="28"/>
      <c r="M126" s="28"/>
      <c r="N126" s="28"/>
      <c r="O126" s="35"/>
      <c r="P126" s="35"/>
      <c r="Q126" s="35"/>
      <c r="R126" s="35"/>
      <c r="S126" s="35"/>
      <c r="T126" s="35"/>
      <c r="U126" s="27" t="s">
        <v>1150</v>
      </c>
      <c r="V126" s="34"/>
      <c r="W126" s="27"/>
      <c r="X126" s="34"/>
      <c r="Y126" s="32"/>
      <c r="Z126" s="34"/>
      <c r="AA126" s="27" t="s">
        <v>1151</v>
      </c>
      <c r="AB126" s="41" t="s">
        <v>1152</v>
      </c>
      <c r="AC126" s="109"/>
      <c r="AD126" s="41"/>
      <c r="AE126" s="109"/>
      <c r="AF126" s="109"/>
      <c r="AG126" s="109"/>
      <c r="AH126" s="109"/>
      <c r="AI126" s="109"/>
      <c r="AJ126" s="109"/>
      <c r="AK126" s="109"/>
      <c r="AL126" s="32"/>
      <c r="AM126" s="109"/>
      <c r="AN126" s="109"/>
      <c r="AO126" s="109"/>
      <c r="AP126" s="109"/>
      <c r="AQ126" s="27">
        <v>57707</v>
      </c>
      <c r="AR126" s="27">
        <v>28.8</v>
      </c>
      <c r="AS126" s="159">
        <v>0.5</v>
      </c>
      <c r="AT126" s="191">
        <v>0.55000000000000004</v>
      </c>
      <c r="AU126" s="192">
        <v>0.35</v>
      </c>
      <c r="AV126" s="197">
        <v>0.38</v>
      </c>
      <c r="AW126" s="197"/>
      <c r="AX126" s="225" t="s">
        <v>1153</v>
      </c>
      <c r="AY126" s="226">
        <v>10038568741575</v>
      </c>
      <c r="AZ126" s="151"/>
      <c r="BA126" s="151"/>
      <c r="BB126" s="151"/>
      <c r="BC126" s="108">
        <v>3.83</v>
      </c>
      <c r="BD126" s="108">
        <v>7</v>
      </c>
      <c r="BE126" s="108">
        <v>4.7699999999999996</v>
      </c>
      <c r="BF126" s="163">
        <f>3.875+(0.018*2)</f>
        <v>3.911</v>
      </c>
      <c r="BG126" s="163">
        <f>3.875+(0.018*2)</f>
        <v>3.911</v>
      </c>
      <c r="BH126" s="163">
        <f>7.25+(0.018*4)</f>
        <v>7.3220000000000001</v>
      </c>
      <c r="BI126" s="157">
        <f t="shared" si="35"/>
        <v>6.4812924515046291E-2</v>
      </c>
      <c r="BJ126" s="227">
        <f>1+0.25</f>
        <v>1.25</v>
      </c>
      <c r="BK126" s="199">
        <f>16.187+(0.125*2)</f>
        <v>16.437000000000001</v>
      </c>
      <c r="BL126" s="199">
        <f>12.187+(0.125*2)</f>
        <v>12.436999999999999</v>
      </c>
      <c r="BM126" s="199">
        <f>7.375+(0.125*4)</f>
        <v>7.875</v>
      </c>
      <c r="BN126" s="157">
        <f>(BM126*BL126*BK126)/1728</f>
        <v>0.93163332226562501</v>
      </c>
      <c r="BO126" s="227">
        <f>(BJ126*12)+0.25</f>
        <v>15.25</v>
      </c>
      <c r="BP126" s="227"/>
      <c r="BQ126" s="227"/>
      <c r="BR126" s="81" t="s">
        <v>797</v>
      </c>
      <c r="BS126" s="81">
        <v>12</v>
      </c>
      <c r="BT126" s="81">
        <v>8</v>
      </c>
      <c r="BU126" s="81">
        <v>5</v>
      </c>
      <c r="BV126" s="29">
        <f>BS126*BT126*BU126</f>
        <v>480</v>
      </c>
      <c r="BW126" s="29">
        <f>(BJ126*BV126)+50</f>
        <v>650</v>
      </c>
      <c r="BX126" s="81" t="s">
        <v>890</v>
      </c>
      <c r="BY126" s="29" t="s">
        <v>735</v>
      </c>
    </row>
    <row r="127" spans="1:88" s="237" customFormat="1" x14ac:dyDescent="0.25">
      <c r="A127" s="187">
        <v>42200</v>
      </c>
      <c r="B127" s="187"/>
      <c r="C127" s="161" t="s">
        <v>1154</v>
      </c>
      <c r="D127" s="228" t="s">
        <v>746</v>
      </c>
      <c r="E127" s="229" t="s">
        <v>1101</v>
      </c>
      <c r="F127" s="228" t="s">
        <v>1155</v>
      </c>
      <c r="G127" s="228" t="s">
        <v>769</v>
      </c>
      <c r="H127" s="161">
        <v>13727838804</v>
      </c>
      <c r="I127" s="228"/>
      <c r="J127" s="228"/>
      <c r="K127" s="27"/>
      <c r="L127" s="28"/>
      <c r="M127" s="28"/>
      <c r="N127" s="28"/>
      <c r="O127" s="230"/>
      <c r="P127" s="230"/>
      <c r="Q127" s="230"/>
      <c r="R127" s="230"/>
      <c r="S127" s="230"/>
      <c r="T127" s="230"/>
      <c r="U127" s="27"/>
      <c r="V127" s="34"/>
      <c r="W127" s="27"/>
      <c r="X127" s="34"/>
      <c r="Y127" s="161"/>
      <c r="Z127" s="34"/>
      <c r="AA127" s="27"/>
      <c r="AB127" s="27" t="s">
        <v>1156</v>
      </c>
      <c r="AC127" s="228"/>
      <c r="AD127" s="41"/>
      <c r="AE127" s="228"/>
      <c r="AF127" s="228"/>
      <c r="AG127" s="228"/>
      <c r="AH127" s="228"/>
      <c r="AI127" s="228"/>
      <c r="AJ127" s="228"/>
      <c r="AK127" s="228"/>
      <c r="AL127" s="161" t="s">
        <v>1157</v>
      </c>
      <c r="AM127" s="228"/>
      <c r="AN127" s="228"/>
      <c r="AO127" s="228"/>
      <c r="AP127" s="228"/>
      <c r="AQ127" s="27"/>
      <c r="AR127" s="231">
        <v>49.09</v>
      </c>
      <c r="AS127" s="191" t="s">
        <v>1158</v>
      </c>
      <c r="AT127" s="191" t="s">
        <v>1158</v>
      </c>
      <c r="AU127" s="191" t="s">
        <v>1158</v>
      </c>
      <c r="AV127" s="159" t="s">
        <v>1158</v>
      </c>
      <c r="AW127" s="159" t="s">
        <v>1158</v>
      </c>
      <c r="AX127" s="232" t="s">
        <v>1159</v>
      </c>
      <c r="AY127" s="233">
        <v>10038568742442</v>
      </c>
      <c r="AZ127" s="108">
        <v>9.01</v>
      </c>
      <c r="BA127" s="108">
        <v>8.27</v>
      </c>
      <c r="BB127" s="108">
        <v>6.34</v>
      </c>
      <c r="BC127" s="151"/>
      <c r="BD127" s="151"/>
      <c r="BE127" s="151"/>
      <c r="BF127" s="153">
        <f>9.88+(0.018*2)</f>
        <v>9.9160000000000004</v>
      </c>
      <c r="BG127" s="153">
        <f>9.38+(0.018*2)</f>
        <v>9.4160000000000004</v>
      </c>
      <c r="BH127" s="153">
        <f>6.88+(0.018*4)</f>
        <v>6.952</v>
      </c>
      <c r="BI127" s="157">
        <f t="shared" si="35"/>
        <v>0.37563754474074074</v>
      </c>
      <c r="BJ127" s="234">
        <f>0.9+0.1</f>
        <v>1</v>
      </c>
      <c r="BK127" s="235">
        <f>23+(0.125*2)</f>
        <v>23.25</v>
      </c>
      <c r="BL127" s="235">
        <f>10.12+(0.125*2)</f>
        <v>10.37</v>
      </c>
      <c r="BM127" s="235">
        <f>10.12+(0.125*4)</f>
        <v>10.62</v>
      </c>
      <c r="BN127" s="157">
        <f>(BM127*BL127*BK127)/1728</f>
        <v>1.4817757812499996</v>
      </c>
      <c r="BO127" s="234">
        <f>(BJ127*3)+0.25</f>
        <v>3.25</v>
      </c>
      <c r="BP127" s="234"/>
      <c r="BQ127" s="234"/>
      <c r="BR127" s="228" t="s">
        <v>797</v>
      </c>
      <c r="BS127" s="228">
        <v>3</v>
      </c>
      <c r="BT127" s="228">
        <v>6</v>
      </c>
      <c r="BU127" s="228">
        <v>4</v>
      </c>
      <c r="BV127" s="29">
        <f>BS127*BT127*BU127</f>
        <v>72</v>
      </c>
      <c r="BW127" s="29">
        <f t="shared" ref="BW127:BW134" si="38">(BO127*BT127*BU127)+50</f>
        <v>128</v>
      </c>
      <c r="BX127" s="228" t="s">
        <v>1160</v>
      </c>
      <c r="BY127" s="29" t="s">
        <v>735</v>
      </c>
      <c r="BZ127" s="236"/>
      <c r="CA127" s="236"/>
      <c r="CB127" s="236"/>
      <c r="CC127" s="1"/>
      <c r="CD127" s="1"/>
      <c r="CE127" s="1"/>
      <c r="CF127" s="1"/>
      <c r="CG127" s="1"/>
      <c r="CH127" s="1"/>
      <c r="CI127" s="1"/>
      <c r="CJ127" s="1"/>
    </row>
    <row r="128" spans="1:88" s="237" customFormat="1" x14ac:dyDescent="0.25">
      <c r="A128" s="187">
        <v>42200</v>
      </c>
      <c r="B128" s="187"/>
      <c r="C128" s="161" t="s">
        <v>1161</v>
      </c>
      <c r="D128" s="228" t="s">
        <v>746</v>
      </c>
      <c r="E128" s="229" t="s">
        <v>1079</v>
      </c>
      <c r="F128" s="238" t="s">
        <v>1162</v>
      </c>
      <c r="G128" s="228" t="s">
        <v>912</v>
      </c>
      <c r="H128" s="161" t="s">
        <v>1163</v>
      </c>
      <c r="I128" s="228"/>
      <c r="J128" s="228"/>
      <c r="K128" s="27"/>
      <c r="L128" s="28"/>
      <c r="M128" s="28"/>
      <c r="N128" s="28"/>
      <c r="O128" s="230"/>
      <c r="P128" s="230"/>
      <c r="Q128" s="230"/>
      <c r="R128" s="230"/>
      <c r="S128" s="230"/>
      <c r="T128" s="230"/>
      <c r="U128" s="27"/>
      <c r="V128" s="34"/>
      <c r="W128" s="27"/>
      <c r="X128" s="34"/>
      <c r="Y128" s="161"/>
      <c r="Z128" s="34"/>
      <c r="AA128" s="27"/>
      <c r="AB128" s="41"/>
      <c r="AC128" s="228"/>
      <c r="AD128" s="41"/>
      <c r="AE128" s="228"/>
      <c r="AF128" s="228"/>
      <c r="AG128" s="228"/>
      <c r="AH128" s="228"/>
      <c r="AI128" s="228"/>
      <c r="AJ128" s="228"/>
      <c r="AK128" s="228"/>
      <c r="AL128" s="161"/>
      <c r="AM128" s="228"/>
      <c r="AN128" s="228"/>
      <c r="AO128" s="228"/>
      <c r="AP128" s="228"/>
      <c r="AQ128" s="27" t="s">
        <v>1076</v>
      </c>
      <c r="AR128" s="231">
        <v>28.53</v>
      </c>
      <c r="AS128" s="159">
        <v>0.5</v>
      </c>
      <c r="AT128" s="191">
        <v>0.55000000000000004</v>
      </c>
      <c r="AU128" s="192">
        <v>0.4</v>
      </c>
      <c r="AV128" s="159" t="s">
        <v>1158</v>
      </c>
      <c r="AW128" s="159" t="s">
        <v>1158</v>
      </c>
      <c r="AX128" s="232" t="s">
        <v>1164</v>
      </c>
      <c r="AY128" s="233">
        <v>10038568743005</v>
      </c>
      <c r="AZ128" s="151"/>
      <c r="BA128" s="151"/>
      <c r="BB128" s="151"/>
      <c r="BC128" s="108">
        <v>2.99</v>
      </c>
      <c r="BD128" s="108">
        <v>5.0199999999999996</v>
      </c>
      <c r="BE128" s="151"/>
      <c r="BF128" s="153">
        <f>3.346+(0.018*2)</f>
        <v>3.3820000000000001</v>
      </c>
      <c r="BG128" s="153">
        <f>3.346+(0.018*2)</f>
        <v>3.3820000000000001</v>
      </c>
      <c r="BH128" s="153">
        <f>5.511+(0.018*4)</f>
        <v>5.5830000000000002</v>
      </c>
      <c r="BI128" s="157">
        <f t="shared" si="35"/>
        <v>3.6954820423611118E-2</v>
      </c>
      <c r="BJ128" s="234">
        <f>0.25+0.1</f>
        <v>0.35</v>
      </c>
      <c r="BK128" s="235">
        <f>13.75+(0.125*2)</f>
        <v>14</v>
      </c>
      <c r="BL128" s="235">
        <f>10.25+(0.125*2)</f>
        <v>10.5</v>
      </c>
      <c r="BM128" s="235">
        <f>5.75+(0.125*4)</f>
        <v>6.25</v>
      </c>
      <c r="BN128" s="157">
        <f t="shared" ref="BN128:BN134" si="39">(BM128*BL128*BK128)/1728</f>
        <v>0.53168402777777779</v>
      </c>
      <c r="BO128" s="234">
        <f>(BJ128*12)+0.25</f>
        <v>4.4499999999999993</v>
      </c>
      <c r="BP128" s="234"/>
      <c r="BQ128" s="234"/>
      <c r="BR128" s="228" t="s">
        <v>733</v>
      </c>
      <c r="BS128" s="228">
        <v>12</v>
      </c>
      <c r="BT128" s="228">
        <v>11</v>
      </c>
      <c r="BU128" s="228">
        <v>7</v>
      </c>
      <c r="BV128" s="29">
        <f t="shared" ref="BV128:BV134" si="40">BS128*BT128*BU128</f>
        <v>924</v>
      </c>
      <c r="BW128" s="29">
        <f t="shared" si="38"/>
        <v>392.64999999999992</v>
      </c>
      <c r="BX128" s="228" t="s">
        <v>950</v>
      </c>
      <c r="BY128" s="29" t="s">
        <v>735</v>
      </c>
      <c r="BZ128" s="236"/>
      <c r="CA128" s="236"/>
      <c r="CB128" s="236"/>
      <c r="CC128" s="1"/>
      <c r="CD128" s="1"/>
      <c r="CE128" s="1"/>
      <c r="CF128" s="1"/>
      <c r="CG128" s="1"/>
      <c r="CH128" s="1"/>
      <c r="CI128" s="1"/>
      <c r="CJ128" s="1"/>
    </row>
    <row r="129" spans="1:88" s="237" customFormat="1" x14ac:dyDescent="0.25">
      <c r="A129" s="187">
        <v>42200</v>
      </c>
      <c r="B129" s="187"/>
      <c r="C129" s="161" t="s">
        <v>1165</v>
      </c>
      <c r="D129" s="228" t="s">
        <v>746</v>
      </c>
      <c r="E129" s="229" t="s">
        <v>1079</v>
      </c>
      <c r="F129" s="238" t="s">
        <v>1166</v>
      </c>
      <c r="G129" s="228" t="s">
        <v>777</v>
      </c>
      <c r="H129" s="161">
        <v>1803009</v>
      </c>
      <c r="I129" s="228"/>
      <c r="J129" s="228"/>
      <c r="K129" s="27"/>
      <c r="L129" s="28"/>
      <c r="M129" s="28"/>
      <c r="N129" s="28"/>
      <c r="O129" s="230"/>
      <c r="P129" s="230"/>
      <c r="Q129" s="230"/>
      <c r="R129" s="230"/>
      <c r="S129" s="230"/>
      <c r="T129" s="230"/>
      <c r="U129" s="27"/>
      <c r="V129" s="34"/>
      <c r="W129" s="27"/>
      <c r="X129" s="34"/>
      <c r="Y129" s="161"/>
      <c r="Z129" s="34"/>
      <c r="AA129" s="27"/>
      <c r="AB129" s="41" t="s">
        <v>1144</v>
      </c>
      <c r="AC129" s="228"/>
      <c r="AD129" s="41"/>
      <c r="AE129" s="228"/>
      <c r="AF129" s="228"/>
      <c r="AG129" s="228"/>
      <c r="AH129" s="228"/>
      <c r="AI129" s="228"/>
      <c r="AJ129" s="228"/>
      <c r="AK129" s="228"/>
      <c r="AL129" s="161" t="s">
        <v>1145</v>
      </c>
      <c r="AM129" s="228"/>
      <c r="AN129" s="228"/>
      <c r="AO129" s="228"/>
      <c r="AP129" s="228"/>
      <c r="AQ129" s="27">
        <v>57010</v>
      </c>
      <c r="AR129" s="231">
        <v>29.41</v>
      </c>
      <c r="AS129" s="159">
        <v>0.5</v>
      </c>
      <c r="AT129" s="191">
        <v>0.55000000000000004</v>
      </c>
      <c r="AU129" s="192">
        <v>0.4</v>
      </c>
      <c r="AV129" s="159" t="s">
        <v>1158</v>
      </c>
      <c r="AW129" s="159" t="s">
        <v>1158</v>
      </c>
      <c r="AX129" s="232" t="s">
        <v>1167</v>
      </c>
      <c r="AY129" s="233">
        <v>10038568743029</v>
      </c>
      <c r="AZ129" s="151"/>
      <c r="BA129" s="151"/>
      <c r="BB129" s="151"/>
      <c r="BC129" s="108">
        <v>4.99</v>
      </c>
      <c r="BD129" s="108">
        <v>2.87</v>
      </c>
      <c r="BE129" s="151"/>
      <c r="BF129" s="153">
        <f>3.812+(0.018*2)</f>
        <v>3.8479999999999999</v>
      </c>
      <c r="BG129" s="153">
        <f>3.812+(0.018*2)</f>
        <v>3.8479999999999999</v>
      </c>
      <c r="BH129" s="153">
        <f>5.375+(0.018*4)</f>
        <v>5.4470000000000001</v>
      </c>
      <c r="BI129" s="157">
        <f t="shared" si="35"/>
        <v>4.6674939518518511E-2</v>
      </c>
      <c r="BJ129" s="234">
        <f>0.215+0.1</f>
        <v>0.315</v>
      </c>
      <c r="BK129" s="235">
        <f>11.625+(0.125*2)</f>
        <v>11.875</v>
      </c>
      <c r="BL129" s="235">
        <f>5.562+(0.125*2)</f>
        <v>5.8120000000000003</v>
      </c>
      <c r="BM129" s="235">
        <f>15.5+(0.125*4)</f>
        <v>16</v>
      </c>
      <c r="BN129" s="157">
        <f t="shared" si="39"/>
        <v>0.63905092592592594</v>
      </c>
      <c r="BO129" s="234">
        <f>(BJ129*3)+0.25</f>
        <v>1.1950000000000001</v>
      </c>
      <c r="BP129" s="234"/>
      <c r="BQ129" s="234"/>
      <c r="BR129" s="228" t="s">
        <v>797</v>
      </c>
      <c r="BS129" s="228">
        <v>12</v>
      </c>
      <c r="BT129" s="228">
        <v>10</v>
      </c>
      <c r="BU129" s="228">
        <v>5</v>
      </c>
      <c r="BV129" s="29">
        <f t="shared" si="40"/>
        <v>600</v>
      </c>
      <c r="BW129" s="29">
        <f t="shared" si="38"/>
        <v>109.75</v>
      </c>
      <c r="BX129" s="228" t="s">
        <v>1160</v>
      </c>
      <c r="BY129" s="29" t="s">
        <v>735</v>
      </c>
      <c r="BZ129" s="236"/>
      <c r="CA129" s="236"/>
      <c r="CB129" s="236"/>
      <c r="CC129" s="1"/>
      <c r="CD129" s="1"/>
      <c r="CE129" s="1"/>
      <c r="CF129" s="1"/>
      <c r="CG129" s="1"/>
      <c r="CH129" s="1"/>
      <c r="CI129" s="1"/>
      <c r="CJ129" s="1"/>
    </row>
    <row r="130" spans="1:88" s="237" customFormat="1" x14ac:dyDescent="0.25">
      <c r="A130" s="187">
        <v>42160</v>
      </c>
      <c r="B130" s="187"/>
      <c r="C130" s="161" t="s">
        <v>1168</v>
      </c>
      <c r="D130" s="228" t="s">
        <v>746</v>
      </c>
      <c r="E130" s="229" t="s">
        <v>1101</v>
      </c>
      <c r="F130" s="238" t="s">
        <v>1169</v>
      </c>
      <c r="G130" s="228" t="s">
        <v>1170</v>
      </c>
      <c r="H130" s="161" t="s">
        <v>1171</v>
      </c>
      <c r="I130" s="228"/>
      <c r="J130" s="228"/>
      <c r="K130" s="27"/>
      <c r="L130" s="28"/>
      <c r="M130" s="28"/>
      <c r="N130" s="28"/>
      <c r="O130" s="230"/>
      <c r="P130" s="230"/>
      <c r="Q130" s="230"/>
      <c r="R130" s="230"/>
      <c r="S130" s="230"/>
      <c r="T130" s="230"/>
      <c r="U130" s="27"/>
      <c r="V130" s="34"/>
      <c r="W130" s="27">
        <v>83240</v>
      </c>
      <c r="X130" s="34"/>
      <c r="Y130" s="161"/>
      <c r="Z130" s="34"/>
      <c r="AA130" s="27"/>
      <c r="AB130" s="27" t="s">
        <v>1172</v>
      </c>
      <c r="AC130" s="228" t="s">
        <v>1173</v>
      </c>
      <c r="AD130" s="41"/>
      <c r="AE130" s="228" t="s">
        <v>1174</v>
      </c>
      <c r="AF130" s="228"/>
      <c r="AG130" s="228"/>
      <c r="AH130" s="228"/>
      <c r="AI130" s="228"/>
      <c r="AJ130" s="228"/>
      <c r="AK130" s="228">
        <v>9240</v>
      </c>
      <c r="AL130" s="161" t="s">
        <v>1175</v>
      </c>
      <c r="AM130" s="228"/>
      <c r="AN130" s="228"/>
      <c r="AO130" s="228"/>
      <c r="AP130" s="228"/>
      <c r="AQ130" s="27">
        <v>49240</v>
      </c>
      <c r="AR130" s="186">
        <v>24.12</v>
      </c>
      <c r="AS130" s="159" t="s">
        <v>1158</v>
      </c>
      <c r="AT130" s="159" t="s">
        <v>1158</v>
      </c>
      <c r="AU130" s="159" t="s">
        <v>1158</v>
      </c>
      <c r="AV130" s="159" t="s">
        <v>1158</v>
      </c>
      <c r="AW130" s="159" t="s">
        <v>1158</v>
      </c>
      <c r="AX130" s="232" t="s">
        <v>1176</v>
      </c>
      <c r="AY130" s="233">
        <v>10038568742466</v>
      </c>
      <c r="AZ130" s="108">
        <v>9.17</v>
      </c>
      <c r="BA130" s="108">
        <v>9</v>
      </c>
      <c r="BB130" s="108">
        <v>2.48</v>
      </c>
      <c r="BC130" s="151"/>
      <c r="BD130" s="151"/>
      <c r="BE130" s="151"/>
      <c r="BF130" s="153">
        <f>9.87+(0.018*2)</f>
        <v>9.9059999999999988</v>
      </c>
      <c r="BG130" s="153">
        <f>3.75+(0.018*2)</f>
        <v>3.786</v>
      </c>
      <c r="BH130" s="153">
        <f>9.87+(0.018*4)</f>
        <v>9.9419999999999984</v>
      </c>
      <c r="BI130" s="157">
        <f t="shared" si="35"/>
        <v>0.21577888962499994</v>
      </c>
      <c r="BJ130" s="153">
        <f>0.591+0.1</f>
        <v>0.69099999999999995</v>
      </c>
      <c r="BK130" s="235">
        <f>11.75+(0.125*2)</f>
        <v>12</v>
      </c>
      <c r="BL130" s="235">
        <f>10.12+(0.125*2)</f>
        <v>10.37</v>
      </c>
      <c r="BM130" s="235">
        <f>10.12+(0.125*4)</f>
        <v>10.62</v>
      </c>
      <c r="BN130" s="157">
        <f t="shared" si="39"/>
        <v>0.76478749999999995</v>
      </c>
      <c r="BO130" s="153">
        <f>(BJ130*3)+0.25</f>
        <v>2.323</v>
      </c>
      <c r="BP130" s="360"/>
      <c r="BQ130" s="360"/>
      <c r="BR130" s="228" t="s">
        <v>797</v>
      </c>
      <c r="BS130" s="228">
        <v>3</v>
      </c>
      <c r="BT130" s="228">
        <v>12</v>
      </c>
      <c r="BU130" s="228">
        <v>4</v>
      </c>
      <c r="BV130" s="29">
        <f t="shared" si="40"/>
        <v>144</v>
      </c>
      <c r="BW130" s="29">
        <f t="shared" si="38"/>
        <v>161.50399999999999</v>
      </c>
      <c r="BX130" s="228" t="s">
        <v>734</v>
      </c>
      <c r="BY130" s="29" t="s">
        <v>735</v>
      </c>
      <c r="BZ130" s="236"/>
      <c r="CA130" s="236"/>
      <c r="CB130" s="236"/>
      <c r="CC130" s="1"/>
      <c r="CD130" s="1"/>
      <c r="CE130" s="1"/>
      <c r="CF130" s="1"/>
      <c r="CG130" s="1"/>
      <c r="CH130" s="1"/>
      <c r="CI130" s="1"/>
      <c r="CJ130" s="1"/>
    </row>
    <row r="131" spans="1:88" s="237" customFormat="1" x14ac:dyDescent="0.25">
      <c r="A131" s="187">
        <v>42160</v>
      </c>
      <c r="B131" s="187"/>
      <c r="C131" s="161" t="s">
        <v>1177</v>
      </c>
      <c r="D131" s="228" t="s">
        <v>746</v>
      </c>
      <c r="E131" s="229" t="s">
        <v>1101</v>
      </c>
      <c r="F131" s="238" t="s">
        <v>1178</v>
      </c>
      <c r="G131" s="228" t="s">
        <v>1048</v>
      </c>
      <c r="H131" s="161" t="s">
        <v>1179</v>
      </c>
      <c r="I131" s="228"/>
      <c r="J131" s="228"/>
      <c r="K131" s="27"/>
      <c r="L131" s="28"/>
      <c r="M131" s="28"/>
      <c r="N131" s="28"/>
      <c r="O131" s="230"/>
      <c r="P131" s="230"/>
      <c r="Q131" s="230"/>
      <c r="R131" s="230"/>
      <c r="S131" s="230"/>
      <c r="T131" s="230"/>
      <c r="U131" s="27"/>
      <c r="V131" s="34"/>
      <c r="W131" s="27">
        <v>93007</v>
      </c>
      <c r="X131" s="34" t="s">
        <v>1177</v>
      </c>
      <c r="Y131" s="161"/>
      <c r="Z131" s="34"/>
      <c r="AA131" s="27"/>
      <c r="AB131" s="27" t="s">
        <v>1180</v>
      </c>
      <c r="AC131" s="228"/>
      <c r="AD131" s="41"/>
      <c r="AE131" s="228"/>
      <c r="AF131" s="228"/>
      <c r="AG131" s="228"/>
      <c r="AH131" s="228" t="s">
        <v>1181</v>
      </c>
      <c r="AI131" s="228" t="s">
        <v>1177</v>
      </c>
      <c r="AJ131" s="228"/>
      <c r="AK131" s="228"/>
      <c r="AL131" s="161"/>
      <c r="AM131" s="228" t="s">
        <v>1182</v>
      </c>
      <c r="AN131" s="228"/>
      <c r="AO131" s="228"/>
      <c r="AP131" s="228"/>
      <c r="AQ131" s="27" t="s">
        <v>1183</v>
      </c>
      <c r="AR131" s="186">
        <v>14.38</v>
      </c>
      <c r="AS131" s="159" t="s">
        <v>1158</v>
      </c>
      <c r="AT131" s="159" t="s">
        <v>1158</v>
      </c>
      <c r="AU131" s="159" t="s">
        <v>1158</v>
      </c>
      <c r="AV131" s="159" t="s">
        <v>1158</v>
      </c>
      <c r="AW131" s="159" t="s">
        <v>1158</v>
      </c>
      <c r="AX131" s="232" t="s">
        <v>1184</v>
      </c>
      <c r="AY131" s="233">
        <v>10038568742527</v>
      </c>
      <c r="AZ131" s="108">
        <v>11.34</v>
      </c>
      <c r="BA131" s="108">
        <v>7.05</v>
      </c>
      <c r="BB131" s="108">
        <v>2.2799999999999998</v>
      </c>
      <c r="BC131" s="151"/>
      <c r="BD131" s="151"/>
      <c r="BE131" s="151"/>
      <c r="BF131" s="153">
        <f>7+(0.018*2)</f>
        <v>7.0359999999999996</v>
      </c>
      <c r="BG131" s="153">
        <f>2.5+(0.018*2)</f>
        <v>2.536</v>
      </c>
      <c r="BH131" s="153">
        <f>11.75+(0.018*4)</f>
        <v>11.821999999999999</v>
      </c>
      <c r="BI131" s="157">
        <f t="shared" si="35"/>
        <v>0.12207375307407406</v>
      </c>
      <c r="BJ131" s="153">
        <f>0.7+0.1</f>
        <v>0.79999999999999993</v>
      </c>
      <c r="BK131" s="235">
        <f>12+(0.125*2)</f>
        <v>12.25</v>
      </c>
      <c r="BL131" s="235">
        <f>7.25+(0.125*2)</f>
        <v>7.5</v>
      </c>
      <c r="BM131" s="235">
        <f>8+(0.125*4)</f>
        <v>8.5</v>
      </c>
      <c r="BN131" s="157">
        <f t="shared" si="39"/>
        <v>0.4519314236111111</v>
      </c>
      <c r="BO131" s="153">
        <f>(BJ131*3)+0.25</f>
        <v>2.65</v>
      </c>
      <c r="BP131" s="360"/>
      <c r="BQ131" s="360"/>
      <c r="BR131" s="228" t="s">
        <v>797</v>
      </c>
      <c r="BS131" s="228">
        <v>3</v>
      </c>
      <c r="BT131" s="228">
        <v>13</v>
      </c>
      <c r="BU131" s="228">
        <v>5</v>
      </c>
      <c r="BV131" s="29">
        <f t="shared" si="40"/>
        <v>195</v>
      </c>
      <c r="BW131" s="29">
        <f t="shared" si="38"/>
        <v>222.24999999999997</v>
      </c>
      <c r="BX131" s="228" t="s">
        <v>743</v>
      </c>
      <c r="BY131" s="29" t="s">
        <v>735</v>
      </c>
      <c r="BZ131" s="236"/>
      <c r="CA131" s="236"/>
      <c r="CB131" s="236"/>
      <c r="CC131" s="1"/>
      <c r="CD131" s="1"/>
      <c r="CE131" s="1"/>
      <c r="CF131" s="1"/>
      <c r="CG131" s="1"/>
      <c r="CH131" s="1"/>
      <c r="CI131" s="1"/>
      <c r="CJ131" s="1"/>
    </row>
    <row r="132" spans="1:88" s="237" customFormat="1" x14ac:dyDescent="0.25">
      <c r="A132" s="187">
        <v>42160</v>
      </c>
      <c r="B132" s="187"/>
      <c r="C132" s="161" t="s">
        <v>990</v>
      </c>
      <c r="D132" s="228" t="s">
        <v>746</v>
      </c>
      <c r="E132" s="229" t="s">
        <v>1101</v>
      </c>
      <c r="F132" s="238" t="s">
        <v>1185</v>
      </c>
      <c r="G132" s="228" t="s">
        <v>802</v>
      </c>
      <c r="H132" s="161" t="s">
        <v>1186</v>
      </c>
      <c r="I132" s="228"/>
      <c r="J132" s="228"/>
      <c r="K132" s="27"/>
      <c r="L132" s="28"/>
      <c r="M132" s="28"/>
      <c r="N132" s="28"/>
      <c r="O132" s="230"/>
      <c r="P132" s="230"/>
      <c r="Q132" s="230"/>
      <c r="R132" s="230"/>
      <c r="S132" s="230"/>
      <c r="T132" s="230"/>
      <c r="U132" s="27"/>
      <c r="V132" s="34"/>
      <c r="W132" s="27">
        <v>83074</v>
      </c>
      <c r="X132" s="34" t="s">
        <v>990</v>
      </c>
      <c r="Y132" s="161"/>
      <c r="Z132" s="34"/>
      <c r="AA132" s="27"/>
      <c r="AB132" s="41" t="s">
        <v>1187</v>
      </c>
      <c r="AC132" s="228" t="s">
        <v>1188</v>
      </c>
      <c r="AD132" s="41"/>
      <c r="AE132" s="228" t="s">
        <v>1189</v>
      </c>
      <c r="AF132" s="228"/>
      <c r="AG132" s="228"/>
      <c r="AH132" s="228"/>
      <c r="AI132" s="228" t="s">
        <v>990</v>
      </c>
      <c r="AJ132" s="228"/>
      <c r="AK132" s="228">
        <v>9074</v>
      </c>
      <c r="AL132" s="161" t="s">
        <v>1190</v>
      </c>
      <c r="AM132" s="228" t="s">
        <v>1191</v>
      </c>
      <c r="AN132" s="228" t="s">
        <v>1192</v>
      </c>
      <c r="AO132" s="228"/>
      <c r="AP132" s="228" t="s">
        <v>1192</v>
      </c>
      <c r="AQ132" s="27">
        <v>49074</v>
      </c>
      <c r="AR132" s="186">
        <v>12.69</v>
      </c>
      <c r="AS132" s="159" t="s">
        <v>1158</v>
      </c>
      <c r="AT132" s="159" t="s">
        <v>1158</v>
      </c>
      <c r="AU132" s="159" t="s">
        <v>1158</v>
      </c>
      <c r="AV132" s="159" t="s">
        <v>1158</v>
      </c>
      <c r="AW132" s="159" t="s">
        <v>1158</v>
      </c>
      <c r="AX132" s="232" t="s">
        <v>1193</v>
      </c>
      <c r="AY132" s="233">
        <v>10038568742374</v>
      </c>
      <c r="AZ132" s="108">
        <v>11.5</v>
      </c>
      <c r="BA132" s="108">
        <v>11.38</v>
      </c>
      <c r="BB132" s="108">
        <v>1.08</v>
      </c>
      <c r="BC132" s="151"/>
      <c r="BD132" s="151"/>
      <c r="BE132" s="151"/>
      <c r="BF132" s="153">
        <f>11.5+(0.018*2)</f>
        <v>11.536</v>
      </c>
      <c r="BG132" s="153">
        <f>2+(0.018*2)</f>
        <v>2.036</v>
      </c>
      <c r="BH132" s="153">
        <f>11.5+(0.018*4)</f>
        <v>11.571999999999999</v>
      </c>
      <c r="BI132" s="157">
        <f t="shared" si="35"/>
        <v>0.15728876696296296</v>
      </c>
      <c r="BJ132" s="153">
        <f>0.661+0.1</f>
        <v>0.76100000000000001</v>
      </c>
      <c r="BK132" s="235">
        <f>16.12+(0.125*2)</f>
        <v>16.37</v>
      </c>
      <c r="BL132" s="235">
        <f>12.25+(0.125*2)</f>
        <v>12.5</v>
      </c>
      <c r="BM132" s="235">
        <f>12.25+(0.125*4)</f>
        <v>12.75</v>
      </c>
      <c r="BN132" s="157">
        <f t="shared" si="39"/>
        <v>1.5098198784722223</v>
      </c>
      <c r="BO132" s="153">
        <f>(BJ132*6)+0.25</f>
        <v>4.8159999999999998</v>
      </c>
      <c r="BP132" s="360"/>
      <c r="BQ132" s="360"/>
      <c r="BR132" s="228" t="s">
        <v>797</v>
      </c>
      <c r="BS132" s="228">
        <v>6</v>
      </c>
      <c r="BT132" s="228">
        <v>12</v>
      </c>
      <c r="BU132" s="228">
        <v>3</v>
      </c>
      <c r="BV132" s="29">
        <f t="shared" si="40"/>
        <v>216</v>
      </c>
      <c r="BW132" s="29">
        <f t="shared" si="38"/>
        <v>223.376</v>
      </c>
      <c r="BX132" s="228" t="s">
        <v>743</v>
      </c>
      <c r="BY132" s="29" t="s">
        <v>735</v>
      </c>
      <c r="BZ132" s="236"/>
      <c r="CA132" s="236"/>
      <c r="CB132" s="236"/>
      <c r="CC132" s="1"/>
      <c r="CD132" s="1"/>
      <c r="CE132" s="1"/>
      <c r="CF132" s="1"/>
      <c r="CG132" s="1"/>
      <c r="CH132" s="1"/>
      <c r="CI132" s="1"/>
      <c r="CJ132" s="1"/>
    </row>
    <row r="133" spans="1:88" s="237" customFormat="1" x14ac:dyDescent="0.25">
      <c r="A133" s="187">
        <v>42160</v>
      </c>
      <c r="B133" s="187"/>
      <c r="C133" s="161" t="s">
        <v>1194</v>
      </c>
      <c r="D133" s="228" t="s">
        <v>746</v>
      </c>
      <c r="E133" s="229" t="s">
        <v>1101</v>
      </c>
      <c r="F133" s="238" t="s">
        <v>1195</v>
      </c>
      <c r="G133" s="228" t="s">
        <v>1048</v>
      </c>
      <c r="H133" s="161" t="s">
        <v>1196</v>
      </c>
      <c r="I133" s="228"/>
      <c r="J133" s="228"/>
      <c r="K133" s="27"/>
      <c r="L133" s="28"/>
      <c r="M133" s="28"/>
      <c r="N133" s="28"/>
      <c r="O133" s="230"/>
      <c r="P133" s="230"/>
      <c r="Q133" s="230"/>
      <c r="R133" s="230"/>
      <c r="S133" s="230"/>
      <c r="T133" s="230"/>
      <c r="U133" s="27"/>
      <c r="V133" s="34"/>
      <c r="W133" s="27">
        <v>83593</v>
      </c>
      <c r="X133" s="34"/>
      <c r="Y133" s="161"/>
      <c r="Z133" s="34"/>
      <c r="AA133" s="27"/>
      <c r="AB133" s="41" t="s">
        <v>1197</v>
      </c>
      <c r="AC133" s="228" t="s">
        <v>1198</v>
      </c>
      <c r="AD133" s="41"/>
      <c r="AE133" s="228"/>
      <c r="AF133" s="228"/>
      <c r="AG133" s="228"/>
      <c r="AH133" s="228" t="s">
        <v>1199</v>
      </c>
      <c r="AI133" s="228"/>
      <c r="AJ133" s="228"/>
      <c r="AK133" s="228">
        <v>9593</v>
      </c>
      <c r="AL133" s="161"/>
      <c r="AM133" s="228"/>
      <c r="AN133" s="228"/>
      <c r="AO133" s="228"/>
      <c r="AP133" s="228"/>
      <c r="AQ133" s="27">
        <v>49593</v>
      </c>
      <c r="AR133" s="186">
        <v>32</v>
      </c>
      <c r="AS133" s="159" t="s">
        <v>1158</v>
      </c>
      <c r="AT133" s="159" t="s">
        <v>1158</v>
      </c>
      <c r="AU133" s="159" t="s">
        <v>1158</v>
      </c>
      <c r="AV133" s="159" t="s">
        <v>1158</v>
      </c>
      <c r="AW133" s="159" t="s">
        <v>1158</v>
      </c>
      <c r="AX133" s="232" t="s">
        <v>1200</v>
      </c>
      <c r="AY133" s="233">
        <v>10038568742428</v>
      </c>
      <c r="AZ133" s="108">
        <v>13.56</v>
      </c>
      <c r="BA133" s="108">
        <v>6.44</v>
      </c>
      <c r="BB133" s="108">
        <v>1.95</v>
      </c>
      <c r="BC133" s="151"/>
      <c r="BD133" s="151"/>
      <c r="BE133" s="151"/>
      <c r="BF133" s="153">
        <f>6.5+(0.018*2)</f>
        <v>6.5359999999999996</v>
      </c>
      <c r="BG133" s="153">
        <f>1.75+(0.018*2)</f>
        <v>1.786</v>
      </c>
      <c r="BH133" s="153">
        <f>13.25+(0.018*4)</f>
        <v>13.321999999999999</v>
      </c>
      <c r="BI133" s="157">
        <f t="shared" si="35"/>
        <v>8.9995167425925907E-2</v>
      </c>
      <c r="BJ133" s="153">
        <f>0.549+0.1</f>
        <v>0.64900000000000002</v>
      </c>
      <c r="BK133" s="235">
        <f>13.75+(0.125*2)</f>
        <v>14</v>
      </c>
      <c r="BL133" s="235">
        <f>7+(0.125*2)</f>
        <v>7.25</v>
      </c>
      <c r="BM133" s="235">
        <f>6+(0.125*4)</f>
        <v>6.5</v>
      </c>
      <c r="BN133" s="157">
        <f t="shared" si="39"/>
        <v>0.38179976851851855</v>
      </c>
      <c r="BO133" s="153">
        <f>(BJ133*3)+0.25</f>
        <v>2.1970000000000001</v>
      </c>
      <c r="BP133" s="360"/>
      <c r="BQ133" s="360"/>
      <c r="BR133" s="228" t="s">
        <v>797</v>
      </c>
      <c r="BS133" s="228">
        <v>3</v>
      </c>
      <c r="BT133" s="228">
        <v>15</v>
      </c>
      <c r="BU133" s="228">
        <v>6</v>
      </c>
      <c r="BV133" s="29">
        <f t="shared" si="40"/>
        <v>270</v>
      </c>
      <c r="BW133" s="29">
        <f t="shared" si="38"/>
        <v>247.73</v>
      </c>
      <c r="BX133" s="228" t="s">
        <v>955</v>
      </c>
      <c r="BY133" s="29" t="s">
        <v>735</v>
      </c>
      <c r="BZ133" s="236"/>
      <c r="CA133" s="236"/>
      <c r="CB133" s="236"/>
      <c r="CC133" s="1"/>
      <c r="CD133" s="1"/>
      <c r="CE133" s="1"/>
      <c r="CF133" s="1"/>
      <c r="CG133" s="1"/>
      <c r="CH133" s="1"/>
      <c r="CI133" s="1"/>
      <c r="CJ133" s="1"/>
    </row>
    <row r="134" spans="1:88" s="237" customFormat="1" x14ac:dyDescent="0.25">
      <c r="A134" s="187">
        <v>42160</v>
      </c>
      <c r="B134" s="187"/>
      <c r="C134" s="161" t="s">
        <v>1201</v>
      </c>
      <c r="D134" s="228" t="s">
        <v>746</v>
      </c>
      <c r="E134" s="229" t="s">
        <v>1101</v>
      </c>
      <c r="F134" s="238" t="s">
        <v>1202</v>
      </c>
      <c r="G134" s="228" t="s">
        <v>777</v>
      </c>
      <c r="H134" s="161">
        <v>1560940504</v>
      </c>
      <c r="I134" s="228"/>
      <c r="J134" s="228"/>
      <c r="K134" s="27"/>
      <c r="L134" s="28"/>
      <c r="M134" s="28"/>
      <c r="N134" s="28"/>
      <c r="O134" s="230"/>
      <c r="P134" s="230"/>
      <c r="Q134" s="230"/>
      <c r="R134" s="230"/>
      <c r="S134" s="230"/>
      <c r="T134" s="230"/>
      <c r="U134" s="27"/>
      <c r="V134" s="34"/>
      <c r="W134" s="27">
        <v>83504</v>
      </c>
      <c r="X134" s="34"/>
      <c r="Y134" s="161"/>
      <c r="Z134" s="34"/>
      <c r="AA134" s="27"/>
      <c r="AB134" s="41" t="s">
        <v>1203</v>
      </c>
      <c r="AC134" s="228" t="s">
        <v>1204</v>
      </c>
      <c r="AD134" s="41"/>
      <c r="AE134" s="228" t="s">
        <v>1205</v>
      </c>
      <c r="AF134" s="228"/>
      <c r="AG134" s="228"/>
      <c r="AH134" s="228" t="s">
        <v>1206</v>
      </c>
      <c r="AI134" s="228"/>
      <c r="AJ134" s="228"/>
      <c r="AK134" s="228">
        <v>9504</v>
      </c>
      <c r="AL134" s="161" t="s">
        <v>1207</v>
      </c>
      <c r="AM134" s="228"/>
      <c r="AN134" s="228"/>
      <c r="AO134" s="228"/>
      <c r="AP134" s="228"/>
      <c r="AQ134" s="27">
        <v>49504</v>
      </c>
      <c r="AR134" s="186">
        <v>26.27</v>
      </c>
      <c r="AS134" s="159" t="s">
        <v>1158</v>
      </c>
      <c r="AT134" s="159" t="s">
        <v>1158</v>
      </c>
      <c r="AU134" s="159" t="s">
        <v>1158</v>
      </c>
      <c r="AV134" s="159" t="s">
        <v>1158</v>
      </c>
      <c r="AW134" s="159" t="s">
        <v>1158</v>
      </c>
      <c r="AX134" s="232" t="s">
        <v>1208</v>
      </c>
      <c r="AY134" s="233">
        <v>10038568742503</v>
      </c>
      <c r="AZ134" s="108">
        <v>12.32</v>
      </c>
      <c r="BA134" s="108">
        <v>6.2</v>
      </c>
      <c r="BB134" s="108">
        <v>0.98</v>
      </c>
      <c r="BC134" s="151"/>
      <c r="BD134" s="151"/>
      <c r="BE134" s="151"/>
      <c r="BF134" s="153">
        <f>7+(0.018*2)</f>
        <v>7.0359999999999996</v>
      </c>
      <c r="BG134" s="153">
        <f>2.5+(0.018*2)</f>
        <v>2.536</v>
      </c>
      <c r="BH134" s="153">
        <f>11.75+(0.018*4)</f>
        <v>11.821999999999999</v>
      </c>
      <c r="BI134" s="157">
        <f t="shared" si="35"/>
        <v>0.12207375307407406</v>
      </c>
      <c r="BJ134" s="153">
        <f>0.26+0.1</f>
        <v>0.36</v>
      </c>
      <c r="BK134" s="235">
        <f>12+(0.125*2)</f>
        <v>12.25</v>
      </c>
      <c r="BL134" s="235">
        <f>7.25+(0.125*2)</f>
        <v>7.5</v>
      </c>
      <c r="BM134" s="235">
        <f>8+(0.125*4)</f>
        <v>8.5</v>
      </c>
      <c r="BN134" s="157">
        <f t="shared" si="39"/>
        <v>0.4519314236111111</v>
      </c>
      <c r="BO134" s="153">
        <f>(BJ134*3)+0.25</f>
        <v>1.33</v>
      </c>
      <c r="BP134" s="360"/>
      <c r="BQ134" s="360"/>
      <c r="BR134" s="228" t="s">
        <v>797</v>
      </c>
      <c r="BS134" s="228">
        <v>3</v>
      </c>
      <c r="BT134" s="228">
        <v>15</v>
      </c>
      <c r="BU134" s="228">
        <v>6</v>
      </c>
      <c r="BV134" s="29">
        <f t="shared" si="40"/>
        <v>270</v>
      </c>
      <c r="BW134" s="29">
        <f t="shared" si="38"/>
        <v>169.70000000000002</v>
      </c>
      <c r="BX134" s="228" t="s">
        <v>955</v>
      </c>
      <c r="BY134" s="29" t="s">
        <v>735</v>
      </c>
      <c r="BZ134" s="236"/>
      <c r="CA134" s="236"/>
      <c r="CB134" s="236"/>
      <c r="CC134" s="1"/>
      <c r="CD134" s="1"/>
      <c r="CE134" s="1"/>
      <c r="CF134" s="1"/>
      <c r="CG134" s="1"/>
      <c r="CH134" s="1"/>
      <c r="CI134" s="1"/>
      <c r="CJ134" s="1"/>
    </row>
    <row r="135" spans="1:88" s="237" customFormat="1" x14ac:dyDescent="0.25">
      <c r="A135" s="187">
        <v>42130</v>
      </c>
      <c r="B135" s="187"/>
      <c r="C135" s="161" t="s">
        <v>1209</v>
      </c>
      <c r="D135" s="229" t="s">
        <v>1210</v>
      </c>
      <c r="E135" s="229" t="s">
        <v>1211</v>
      </c>
      <c r="F135" s="238" t="s">
        <v>1212</v>
      </c>
      <c r="G135" s="228" t="s">
        <v>748</v>
      </c>
      <c r="H135" s="161">
        <v>95021102</v>
      </c>
      <c r="I135" s="228"/>
      <c r="J135" s="228"/>
      <c r="K135" s="27"/>
      <c r="L135" s="28"/>
      <c r="M135" s="28"/>
      <c r="N135" s="28"/>
      <c r="O135" s="230"/>
      <c r="P135" s="230"/>
      <c r="Q135" s="230"/>
      <c r="R135" s="230"/>
      <c r="S135" s="230"/>
      <c r="T135" s="230"/>
      <c r="U135" s="27"/>
      <c r="V135" s="34"/>
      <c r="W135" s="27"/>
      <c r="X135" s="34"/>
      <c r="Y135" s="161"/>
      <c r="Z135" s="34"/>
      <c r="AA135" s="27"/>
      <c r="AB135" s="27" t="s">
        <v>1213</v>
      </c>
      <c r="AC135" s="228"/>
      <c r="AD135" s="41"/>
      <c r="AE135" s="228"/>
      <c r="AF135" s="228"/>
      <c r="AG135" s="228"/>
      <c r="AH135" s="228"/>
      <c r="AI135" s="228"/>
      <c r="AJ135" s="228"/>
      <c r="AK135" s="228"/>
      <c r="AL135" s="161"/>
      <c r="AM135" s="228"/>
      <c r="AN135" s="228"/>
      <c r="AO135" s="228"/>
      <c r="AP135" s="228"/>
      <c r="AQ135" s="27"/>
      <c r="AR135" s="103">
        <v>16.37</v>
      </c>
      <c r="AS135" s="159"/>
      <c r="AT135" s="159"/>
      <c r="AU135" s="159"/>
      <c r="AV135" s="159"/>
      <c r="AW135" s="159"/>
      <c r="AX135" s="232" t="s">
        <v>1214</v>
      </c>
      <c r="AY135" s="233">
        <v>10038568742404</v>
      </c>
      <c r="AZ135" s="108">
        <v>9</v>
      </c>
      <c r="BA135" s="108">
        <v>6.26</v>
      </c>
      <c r="BB135" s="108">
        <v>2.2599999999999998</v>
      </c>
      <c r="BC135" s="151"/>
      <c r="BD135" s="151"/>
      <c r="BE135" s="151"/>
      <c r="BF135" s="153">
        <f>7+(0.018*2)</f>
        <v>7.0359999999999996</v>
      </c>
      <c r="BG135" s="153">
        <f>2.5+(0.018*2)</f>
        <v>2.536</v>
      </c>
      <c r="BH135" s="153">
        <f>11.75+(0.018*4)</f>
        <v>11.821999999999999</v>
      </c>
      <c r="BI135" s="157">
        <f t="shared" si="35"/>
        <v>0.12207375307407406</v>
      </c>
      <c r="BJ135" s="153">
        <f>0.412+0.1</f>
        <v>0.51200000000000001</v>
      </c>
      <c r="BK135" s="235">
        <f>12+(0.125*2)</f>
        <v>12.25</v>
      </c>
      <c r="BL135" s="235">
        <f>7.25+(0.125*2)</f>
        <v>7.5</v>
      </c>
      <c r="BM135" s="235">
        <f>8+(0.125*4)</f>
        <v>8.5</v>
      </c>
      <c r="BN135" s="157">
        <f>(BM135*BL135*BK135)/1728</f>
        <v>0.4519314236111111</v>
      </c>
      <c r="BO135" s="153">
        <f>(BJ135*3)+0.25</f>
        <v>1.786</v>
      </c>
      <c r="BP135" s="360"/>
      <c r="BQ135" s="360"/>
      <c r="BR135" s="228" t="s">
        <v>797</v>
      </c>
      <c r="BS135" s="228">
        <v>3</v>
      </c>
      <c r="BT135" s="228">
        <v>20</v>
      </c>
      <c r="BU135" s="228">
        <v>5</v>
      </c>
      <c r="BV135" s="29">
        <f>BS135*BT135*BU135</f>
        <v>300</v>
      </c>
      <c r="BW135" s="29">
        <f>(BO135*BT135*BU135)+50</f>
        <v>228.6</v>
      </c>
      <c r="BX135" s="228" t="s">
        <v>734</v>
      </c>
      <c r="BY135" s="29" t="s">
        <v>735</v>
      </c>
      <c r="BZ135" s="236"/>
      <c r="CA135" s="236"/>
      <c r="CB135" s="236"/>
      <c r="CC135" s="1"/>
      <c r="CD135" s="1"/>
      <c r="CE135" s="1"/>
      <c r="CF135" s="1"/>
      <c r="CG135" s="1"/>
      <c r="CH135" s="1"/>
      <c r="CI135" s="1"/>
      <c r="CJ135" s="1"/>
    </row>
    <row r="136" spans="1:88" s="237" customFormat="1" x14ac:dyDescent="0.25">
      <c r="A136" s="187">
        <v>42130</v>
      </c>
      <c r="B136" s="187"/>
      <c r="C136" s="161" t="s">
        <v>1215</v>
      </c>
      <c r="D136" s="229" t="s">
        <v>1210</v>
      </c>
      <c r="E136" s="229" t="s">
        <v>1211</v>
      </c>
      <c r="F136" s="238" t="s">
        <v>1216</v>
      </c>
      <c r="G136" s="228" t="s">
        <v>903</v>
      </c>
      <c r="H136" s="161" t="s">
        <v>1217</v>
      </c>
      <c r="I136" s="228"/>
      <c r="J136" s="228"/>
      <c r="K136" s="27"/>
      <c r="L136" s="28"/>
      <c r="M136" s="28"/>
      <c r="N136" s="28"/>
      <c r="O136" s="230"/>
      <c r="P136" s="230"/>
      <c r="Q136" s="230"/>
      <c r="R136" s="230"/>
      <c r="S136" s="230"/>
      <c r="T136" s="230"/>
      <c r="U136" s="27"/>
      <c r="V136" s="34"/>
      <c r="W136" s="27"/>
      <c r="X136" s="34"/>
      <c r="Y136" s="161"/>
      <c r="Z136" s="34"/>
      <c r="AA136" s="27"/>
      <c r="AB136" s="27" t="s">
        <v>1218</v>
      </c>
      <c r="AC136" s="228"/>
      <c r="AD136" s="41"/>
      <c r="AE136" s="228"/>
      <c r="AF136" s="228"/>
      <c r="AG136" s="228"/>
      <c r="AH136" s="228"/>
      <c r="AI136" s="228"/>
      <c r="AJ136" s="228"/>
      <c r="AK136" s="228"/>
      <c r="AL136" s="161"/>
      <c r="AM136" s="228"/>
      <c r="AN136" s="228"/>
      <c r="AO136" s="228"/>
      <c r="AP136" s="228"/>
      <c r="AQ136" s="27"/>
      <c r="AR136" s="103">
        <v>16.07</v>
      </c>
      <c r="AS136" s="159"/>
      <c r="AT136" s="191"/>
      <c r="AU136" s="193"/>
      <c r="AV136" s="193"/>
      <c r="AW136" s="193"/>
      <c r="AX136" s="232" t="s">
        <v>1219</v>
      </c>
      <c r="AY136" s="233">
        <v>10038568742336</v>
      </c>
      <c r="AZ136" s="108">
        <v>11.67</v>
      </c>
      <c r="BA136" s="108">
        <v>6.48</v>
      </c>
      <c r="BB136" s="108">
        <v>2.09</v>
      </c>
      <c r="BC136" s="151"/>
      <c r="BD136" s="151"/>
      <c r="BE136" s="151"/>
      <c r="BF136" s="153">
        <f>7+(0.018*2)</f>
        <v>7.0359999999999996</v>
      </c>
      <c r="BG136" s="153">
        <f>2.5+(0.018*2)</f>
        <v>2.536</v>
      </c>
      <c r="BH136" s="153">
        <f>11.75+(0.018*4)</f>
        <v>11.821999999999999</v>
      </c>
      <c r="BI136" s="157">
        <f t="shared" si="35"/>
        <v>0.12207375307407406</v>
      </c>
      <c r="BJ136" s="153">
        <f>0.7+0.1</f>
        <v>0.79999999999999993</v>
      </c>
      <c r="BK136" s="235">
        <f>12+(0.125*2)</f>
        <v>12.25</v>
      </c>
      <c r="BL136" s="235">
        <f>7.25+(0.125*2)</f>
        <v>7.5</v>
      </c>
      <c r="BM136" s="235">
        <f>8+(0.125*4)</f>
        <v>8.5</v>
      </c>
      <c r="BN136" s="157">
        <f>(BM136*BL136*BK136)/1728</f>
        <v>0.4519314236111111</v>
      </c>
      <c r="BO136" s="153">
        <f>(BJ136*3)+0.25</f>
        <v>2.65</v>
      </c>
      <c r="BP136" s="360"/>
      <c r="BQ136" s="360"/>
      <c r="BR136" s="228" t="s">
        <v>797</v>
      </c>
      <c r="BS136" s="228">
        <v>3</v>
      </c>
      <c r="BT136" s="228">
        <v>20</v>
      </c>
      <c r="BU136" s="228">
        <v>5</v>
      </c>
      <c r="BV136" s="29">
        <f>BS136*BT136*BU136</f>
        <v>300</v>
      </c>
      <c r="BW136" s="29">
        <f>(BO136*BT136*BU136)+50</f>
        <v>315</v>
      </c>
      <c r="BX136" s="228" t="s">
        <v>955</v>
      </c>
      <c r="BY136" s="29" t="s">
        <v>735</v>
      </c>
      <c r="BZ136" s="236"/>
      <c r="CA136" s="236"/>
      <c r="CB136" s="236"/>
      <c r="CC136" s="1"/>
      <c r="CD136" s="1"/>
      <c r="CE136" s="1"/>
      <c r="CF136" s="1"/>
      <c r="CG136" s="1"/>
      <c r="CH136" s="1"/>
      <c r="CI136" s="1"/>
      <c r="CJ136" s="1"/>
    </row>
    <row r="137" spans="1:88" s="237" customFormat="1" ht="45" x14ac:dyDescent="0.25">
      <c r="A137" s="187">
        <v>42130</v>
      </c>
      <c r="B137" s="187"/>
      <c r="C137" s="161" t="s">
        <v>1220</v>
      </c>
      <c r="D137" s="229" t="s">
        <v>60</v>
      </c>
      <c r="E137" s="229" t="s">
        <v>1221</v>
      </c>
      <c r="F137" s="239" t="s">
        <v>1222</v>
      </c>
      <c r="G137" s="228"/>
      <c r="H137" s="161"/>
      <c r="I137" s="228"/>
      <c r="J137" s="228"/>
      <c r="K137" s="27"/>
      <c r="L137" s="28"/>
      <c r="M137" s="28"/>
      <c r="N137" s="28"/>
      <c r="O137" s="230"/>
      <c r="P137" s="230"/>
      <c r="Q137" s="230"/>
      <c r="R137" s="230"/>
      <c r="S137" s="230"/>
      <c r="T137" s="230"/>
      <c r="U137" s="27"/>
      <c r="V137" s="34"/>
      <c r="W137" s="27"/>
      <c r="X137" s="34"/>
      <c r="Y137" s="161"/>
      <c r="Z137" s="34"/>
      <c r="AA137" s="27"/>
      <c r="AB137" s="41"/>
      <c r="AC137" s="228"/>
      <c r="AD137" s="41"/>
      <c r="AE137" s="228"/>
      <c r="AF137" s="228"/>
      <c r="AG137" s="228"/>
      <c r="AH137" s="228"/>
      <c r="AI137" s="228"/>
      <c r="AJ137" s="228"/>
      <c r="AK137" s="228"/>
      <c r="AL137" s="161"/>
      <c r="AM137" s="228"/>
      <c r="AN137" s="228"/>
      <c r="AO137" s="228"/>
      <c r="AP137" s="228"/>
      <c r="AQ137" s="27"/>
      <c r="AR137" s="103">
        <v>112.6</v>
      </c>
      <c r="AS137" s="159">
        <v>4.5</v>
      </c>
      <c r="AT137" s="191">
        <v>5.55</v>
      </c>
      <c r="AU137" s="193" t="s">
        <v>1223</v>
      </c>
      <c r="AV137" s="193" t="s">
        <v>1224</v>
      </c>
      <c r="AW137" s="193" t="s">
        <v>1225</v>
      </c>
      <c r="AX137" s="232" t="s">
        <v>1226</v>
      </c>
      <c r="AY137" s="233">
        <v>10038568742909</v>
      </c>
      <c r="AZ137" s="151"/>
      <c r="BA137" s="151"/>
      <c r="BB137" s="151"/>
      <c r="BC137" s="151"/>
      <c r="BD137" s="151"/>
      <c r="BE137" s="151"/>
      <c r="BF137" s="456" t="s">
        <v>989</v>
      </c>
      <c r="BG137" s="456"/>
      <c r="BH137" s="456"/>
      <c r="BI137" s="456"/>
      <c r="BJ137" s="456"/>
      <c r="BK137" s="235">
        <f>12.75+(0.125*2)</f>
        <v>13</v>
      </c>
      <c r="BL137" s="235">
        <f>8.62+(0.125*2)</f>
        <v>8.8699999999999992</v>
      </c>
      <c r="BM137" s="235">
        <f>11.5+(0.125*4)</f>
        <v>12</v>
      </c>
      <c r="BN137" s="157">
        <f t="shared" ref="BN137" si="41">(BM137*BL137*BK137)/1728</f>
        <v>0.80076388888888894</v>
      </c>
      <c r="BO137" s="153">
        <f>11.78+0.25</f>
        <v>12.03</v>
      </c>
      <c r="BP137" s="360"/>
      <c r="BQ137" s="360"/>
      <c r="BR137" s="228" t="s">
        <v>797</v>
      </c>
      <c r="BS137" s="228">
        <v>1</v>
      </c>
      <c r="BT137" s="228">
        <v>15</v>
      </c>
      <c r="BU137" s="228">
        <v>3</v>
      </c>
      <c r="BV137" s="29">
        <f t="shared" ref="BV137" si="42">BS137*BT137*BU137</f>
        <v>45</v>
      </c>
      <c r="BW137" s="29">
        <f t="shared" ref="BW137" si="43">(BO137*BT137*BU137)+50</f>
        <v>591.34999999999991</v>
      </c>
      <c r="BX137" s="238" t="s">
        <v>1227</v>
      </c>
      <c r="BY137" s="29" t="s">
        <v>735</v>
      </c>
      <c r="BZ137" s="236"/>
      <c r="CA137" s="236"/>
      <c r="CB137" s="236"/>
      <c r="CC137" s="1"/>
      <c r="CD137" s="1"/>
      <c r="CE137" s="1"/>
      <c r="CF137" s="1"/>
      <c r="CG137" s="1"/>
      <c r="CH137" s="1"/>
      <c r="CI137" s="1"/>
      <c r="CJ137" s="1"/>
    </row>
    <row r="138" spans="1:88" s="237" customFormat="1" x14ac:dyDescent="0.25">
      <c r="A138" s="187">
        <v>42109</v>
      </c>
      <c r="B138" s="187"/>
      <c r="C138" s="240" t="s">
        <v>1228</v>
      </c>
      <c r="D138" s="229" t="s">
        <v>720</v>
      </c>
      <c r="E138" s="229" t="s">
        <v>1211</v>
      </c>
      <c r="F138" s="239" t="s">
        <v>1229</v>
      </c>
      <c r="G138" s="228" t="s">
        <v>722</v>
      </c>
      <c r="H138" s="161" t="s">
        <v>1230</v>
      </c>
      <c r="I138" s="228" t="s">
        <v>49</v>
      </c>
      <c r="J138" s="228" t="s">
        <v>1231</v>
      </c>
      <c r="K138" s="27"/>
      <c r="L138" s="28"/>
      <c r="M138" s="28"/>
      <c r="N138" s="28"/>
      <c r="O138" s="230"/>
      <c r="P138" s="230"/>
      <c r="Q138" s="230"/>
      <c r="R138" s="230"/>
      <c r="S138" s="230"/>
      <c r="T138" s="230"/>
      <c r="U138" s="27"/>
      <c r="V138" s="34"/>
      <c r="W138" s="27"/>
      <c r="X138" s="34"/>
      <c r="Y138" s="161"/>
      <c r="Z138" s="34"/>
      <c r="AA138" s="27"/>
      <c r="AB138" s="41" t="s">
        <v>1232</v>
      </c>
      <c r="AC138" s="228"/>
      <c r="AD138" s="41" t="s">
        <v>1233</v>
      </c>
      <c r="AE138" s="228"/>
      <c r="AF138" s="228"/>
      <c r="AG138" s="228"/>
      <c r="AH138" s="228"/>
      <c r="AI138" s="228"/>
      <c r="AJ138" s="228" t="s">
        <v>1231</v>
      </c>
      <c r="AK138" s="228"/>
      <c r="AL138" s="161" t="s">
        <v>1234</v>
      </c>
      <c r="AM138" s="228"/>
      <c r="AN138" s="228"/>
      <c r="AO138" s="228"/>
      <c r="AP138" s="228" t="s">
        <v>1235</v>
      </c>
      <c r="AQ138" s="27"/>
      <c r="AR138" s="103">
        <v>13.52</v>
      </c>
      <c r="AS138" s="159" t="s">
        <v>1236</v>
      </c>
      <c r="AT138" s="159" t="s">
        <v>1236</v>
      </c>
      <c r="AU138" s="159" t="s">
        <v>1236</v>
      </c>
      <c r="AV138" s="27"/>
      <c r="AW138" s="27"/>
      <c r="AX138" s="232" t="s">
        <v>1237</v>
      </c>
      <c r="AY138" s="233">
        <v>10038568316032</v>
      </c>
      <c r="AZ138" s="108">
        <v>9.65</v>
      </c>
      <c r="BA138" s="108">
        <v>7.8</v>
      </c>
      <c r="BB138" s="108">
        <v>2.2400000000000002</v>
      </c>
      <c r="BC138" s="151"/>
      <c r="BD138" s="151"/>
      <c r="BE138" s="151"/>
      <c r="BF138" s="153">
        <f>9.75+(0.018*2)</f>
        <v>9.7859999999999996</v>
      </c>
      <c r="BG138" s="153">
        <f>2.31+(0.018*2)</f>
        <v>2.3460000000000001</v>
      </c>
      <c r="BH138" s="153">
        <f>9.75+(0.018*4)</f>
        <v>9.8219999999999992</v>
      </c>
      <c r="BI138" s="157">
        <f t="shared" ref="BI138" si="44">(BH138*BG138*BF138)/1728</f>
        <v>0.13049365962499998</v>
      </c>
      <c r="BJ138" s="153">
        <f>0.54+0.1</f>
        <v>0.64</v>
      </c>
      <c r="BK138" s="235">
        <f>14.25+(0.125*2)</f>
        <v>14.5</v>
      </c>
      <c r="BL138" s="235">
        <f>9.87+(0.125*2)</f>
        <v>10.119999999999999</v>
      </c>
      <c r="BM138" s="235">
        <f>9.87+(0.125*4)</f>
        <v>10.37</v>
      </c>
      <c r="BN138" s="157">
        <f>(BM138*BL138*BK138)/1728</f>
        <v>0.88060983796296288</v>
      </c>
      <c r="BO138" s="153">
        <f>(BJ138*6)+0.25</f>
        <v>4.09</v>
      </c>
      <c r="BP138" s="360"/>
      <c r="BQ138" s="360"/>
      <c r="BR138" s="228" t="s">
        <v>797</v>
      </c>
      <c r="BS138" s="228">
        <v>6</v>
      </c>
      <c r="BT138" s="228">
        <v>11</v>
      </c>
      <c r="BU138" s="228">
        <v>3</v>
      </c>
      <c r="BV138" s="29">
        <f>BS138*BT138*BU138</f>
        <v>198</v>
      </c>
      <c r="BW138" s="29">
        <f>(BO138*BT138*BU138)+50</f>
        <v>184.96999999999997</v>
      </c>
      <c r="BX138" s="228" t="s">
        <v>734</v>
      </c>
      <c r="BY138" s="29" t="s">
        <v>735</v>
      </c>
      <c r="BZ138" s="236"/>
      <c r="CA138" s="236"/>
      <c r="CB138" s="236"/>
      <c r="CC138" s="1"/>
      <c r="CD138" s="1"/>
      <c r="CE138" s="1"/>
      <c r="CF138" s="1"/>
      <c r="CG138" s="1"/>
      <c r="CH138" s="1"/>
      <c r="CI138" s="1"/>
      <c r="CJ138" s="1"/>
    </row>
    <row r="139" spans="1:88" s="237" customFormat="1" x14ac:dyDescent="0.25">
      <c r="A139" s="187">
        <v>42109</v>
      </c>
      <c r="B139" s="187"/>
      <c r="C139" s="240" t="s">
        <v>1238</v>
      </c>
      <c r="D139" s="229" t="s">
        <v>60</v>
      </c>
      <c r="E139" s="229" t="s">
        <v>1239</v>
      </c>
      <c r="F139" s="239" t="s">
        <v>1240</v>
      </c>
      <c r="G139" s="228" t="s">
        <v>984</v>
      </c>
      <c r="H139" s="228" t="s">
        <v>1241</v>
      </c>
      <c r="I139" s="228" t="s">
        <v>984</v>
      </c>
      <c r="J139" s="228" t="s">
        <v>1242</v>
      </c>
      <c r="K139" s="27"/>
      <c r="L139" s="28"/>
      <c r="M139" s="28"/>
      <c r="N139" s="28"/>
      <c r="O139" s="230"/>
      <c r="P139" s="230"/>
      <c r="Q139" s="230"/>
      <c r="R139" s="230"/>
      <c r="S139" s="230"/>
      <c r="T139" s="230"/>
      <c r="U139" s="27" t="s">
        <v>1243</v>
      </c>
      <c r="V139" s="34"/>
      <c r="W139" s="27"/>
      <c r="X139" s="34"/>
      <c r="Y139" s="161"/>
      <c r="Z139" s="34" t="s">
        <v>1244</v>
      </c>
      <c r="AA139" s="27" t="s">
        <v>1245</v>
      </c>
      <c r="AB139" s="27" t="s">
        <v>1246</v>
      </c>
      <c r="AC139" s="166"/>
      <c r="AD139" s="32"/>
      <c r="AE139" s="32"/>
      <c r="AF139" s="32"/>
      <c r="AG139" s="32"/>
      <c r="AH139" s="32"/>
      <c r="AI139" s="32"/>
      <c r="AJ139" s="32"/>
      <c r="AK139" s="241"/>
      <c r="AL139" s="161"/>
      <c r="AM139" s="32"/>
      <c r="AN139" s="32"/>
      <c r="AO139" s="32"/>
      <c r="AP139" s="32"/>
      <c r="AQ139" s="27">
        <v>33753</v>
      </c>
      <c r="AR139" s="103">
        <v>24.53</v>
      </c>
      <c r="AS139" s="159">
        <v>0.5</v>
      </c>
      <c r="AT139" s="191">
        <v>0.55000000000000004</v>
      </c>
      <c r="AU139" s="193" t="s">
        <v>1247</v>
      </c>
      <c r="AV139" s="27"/>
      <c r="AW139" s="27"/>
      <c r="AX139" s="232" t="s">
        <v>1248</v>
      </c>
      <c r="AY139" s="233">
        <v>10038568738261</v>
      </c>
      <c r="AZ139" s="151"/>
      <c r="BA139" s="151"/>
      <c r="BB139" s="151"/>
      <c r="BC139" s="242">
        <v>6.48</v>
      </c>
      <c r="BD139" s="242">
        <v>4.26</v>
      </c>
      <c r="BE139" s="242">
        <v>3.63</v>
      </c>
      <c r="BF139" s="456" t="s">
        <v>989</v>
      </c>
      <c r="BG139" s="456"/>
      <c r="BH139" s="456"/>
      <c r="BI139" s="456"/>
      <c r="BJ139" s="456"/>
      <c r="BK139" s="235">
        <f>13.25+(0.125*2)</f>
        <v>13.5</v>
      </c>
      <c r="BL139" s="235">
        <f>9+(0.125*2)</f>
        <v>9.25</v>
      </c>
      <c r="BM139" s="235">
        <f>6.75+(0.125*4)</f>
        <v>7.25</v>
      </c>
      <c r="BN139" s="157">
        <f t="shared" ref="BN139" si="45">(BM139*BL139*BK139)/1728</f>
        <v>0.52392578125</v>
      </c>
      <c r="BO139" s="153">
        <f>(1.5*6)+0.25</f>
        <v>9.25</v>
      </c>
      <c r="BP139" s="360"/>
      <c r="BQ139" s="360"/>
      <c r="BR139" s="228" t="s">
        <v>797</v>
      </c>
      <c r="BS139" s="228">
        <v>6</v>
      </c>
      <c r="BT139" s="228">
        <v>13</v>
      </c>
      <c r="BU139" s="228">
        <v>6</v>
      </c>
      <c r="BV139" s="29">
        <f t="shared" ref="BV139" si="46">BS139*BT139*BU139</f>
        <v>468</v>
      </c>
      <c r="BW139" s="29">
        <f t="shared" ref="BW139" si="47">(BO139*BT139*BU139)+50</f>
        <v>771.5</v>
      </c>
      <c r="BX139" s="228" t="s">
        <v>890</v>
      </c>
      <c r="BY139" s="29" t="s">
        <v>735</v>
      </c>
      <c r="BZ139" s="236"/>
      <c r="CA139" s="236"/>
      <c r="CB139" s="236"/>
      <c r="CC139" s="1"/>
      <c r="CD139" s="1"/>
      <c r="CE139" s="1"/>
      <c r="CF139" s="1"/>
      <c r="CG139" s="1"/>
      <c r="CH139" s="1"/>
      <c r="CI139" s="1"/>
      <c r="CJ139" s="1"/>
    </row>
    <row r="140" spans="1:88" s="237" customFormat="1" ht="15" customHeight="1" x14ac:dyDescent="0.25">
      <c r="A140" s="187">
        <v>42083</v>
      </c>
      <c r="B140" s="187"/>
      <c r="C140" s="224" t="s">
        <v>1249</v>
      </c>
      <c r="D140" s="229" t="s">
        <v>720</v>
      </c>
      <c r="E140" s="229" t="s">
        <v>1211</v>
      </c>
      <c r="F140" s="238" t="s">
        <v>1250</v>
      </c>
      <c r="G140" s="228" t="s">
        <v>748</v>
      </c>
      <c r="H140" s="228">
        <v>25898499</v>
      </c>
      <c r="I140" s="243"/>
      <c r="J140" s="32"/>
      <c r="K140" s="27"/>
      <c r="L140" s="28"/>
      <c r="M140" s="28"/>
      <c r="N140" s="28"/>
      <c r="O140" s="230"/>
      <c r="P140" s="230"/>
      <c r="Q140" s="230"/>
      <c r="R140" s="230"/>
      <c r="S140" s="230"/>
      <c r="T140" s="230"/>
      <c r="U140" s="27"/>
      <c r="V140" s="34"/>
      <c r="W140" s="27"/>
      <c r="X140" s="34"/>
      <c r="Y140" s="161"/>
      <c r="Z140" s="34"/>
      <c r="AA140" s="27"/>
      <c r="AB140" s="27" t="s">
        <v>1251</v>
      </c>
      <c r="AC140" s="32"/>
      <c r="AD140" s="32"/>
      <c r="AE140" s="32"/>
      <c r="AF140" s="32"/>
      <c r="AG140" s="32"/>
      <c r="AH140" s="32"/>
      <c r="AI140" s="32"/>
      <c r="AJ140" s="32"/>
      <c r="AK140" s="241"/>
      <c r="AL140" s="32"/>
      <c r="AM140" s="32"/>
      <c r="AN140" s="32"/>
      <c r="AO140" s="32"/>
      <c r="AP140" s="32"/>
      <c r="AQ140" s="27"/>
      <c r="AR140" s="103">
        <v>55.944557287911429</v>
      </c>
      <c r="AS140" s="159"/>
      <c r="AT140" s="191"/>
      <c r="AU140" s="232"/>
      <c r="AV140" s="27"/>
      <c r="AW140" s="27"/>
      <c r="AX140" s="232" t="s">
        <v>1252</v>
      </c>
      <c r="AY140" s="233">
        <v>10038568742398</v>
      </c>
      <c r="AZ140" s="108">
        <v>11.32</v>
      </c>
      <c r="BA140" s="108">
        <v>9.31</v>
      </c>
      <c r="BB140" s="108">
        <v>1.97</v>
      </c>
      <c r="BC140" s="151"/>
      <c r="BD140" s="37"/>
      <c r="BE140" s="37"/>
      <c r="BF140" s="153">
        <v>10.036</v>
      </c>
      <c r="BG140" s="153">
        <v>2.536</v>
      </c>
      <c r="BH140" s="153">
        <v>12.571999999999999</v>
      </c>
      <c r="BI140" s="157">
        <v>0.18516996140740738</v>
      </c>
      <c r="BJ140" s="153">
        <v>0.753</v>
      </c>
      <c r="BK140" s="235">
        <v>13.25</v>
      </c>
      <c r="BL140" s="235">
        <v>8.25</v>
      </c>
      <c r="BM140" s="235">
        <v>11.5</v>
      </c>
      <c r="BN140" s="157">
        <v>0.72748480902777779</v>
      </c>
      <c r="BO140" s="153">
        <v>2.5089999999999999</v>
      </c>
      <c r="BP140" s="360"/>
      <c r="BQ140" s="360"/>
      <c r="BR140" s="228" t="s">
        <v>797</v>
      </c>
      <c r="BS140" s="228">
        <v>3</v>
      </c>
      <c r="BT140" s="228">
        <v>16</v>
      </c>
      <c r="BU140" s="228">
        <v>3</v>
      </c>
      <c r="BV140" s="29">
        <v>144</v>
      </c>
      <c r="BW140" s="29">
        <v>170.43199999999999</v>
      </c>
      <c r="BX140" s="228" t="s">
        <v>955</v>
      </c>
      <c r="BY140" s="29" t="s">
        <v>735</v>
      </c>
      <c r="BZ140" s="236"/>
      <c r="CA140" s="236"/>
      <c r="CB140" s="236"/>
      <c r="CC140" s="1"/>
      <c r="CD140" s="1"/>
      <c r="CE140" s="1"/>
      <c r="CF140" s="1"/>
      <c r="CG140" s="1"/>
      <c r="CH140" s="1"/>
      <c r="CI140" s="1"/>
      <c r="CJ140" s="1"/>
    </row>
    <row r="141" spans="1:88" s="237" customFormat="1" x14ac:dyDescent="0.25">
      <c r="A141" s="187">
        <v>42083</v>
      </c>
      <c r="B141" s="187"/>
      <c r="C141" s="224" t="s">
        <v>1253</v>
      </c>
      <c r="D141" s="229" t="s">
        <v>720</v>
      </c>
      <c r="E141" s="229" t="s">
        <v>1211</v>
      </c>
      <c r="F141" s="238" t="s">
        <v>1254</v>
      </c>
      <c r="G141" s="228" t="s">
        <v>769</v>
      </c>
      <c r="H141" s="228">
        <v>13717798342</v>
      </c>
      <c r="I141" s="243"/>
      <c r="J141" s="32"/>
      <c r="K141" s="27"/>
      <c r="L141" s="28"/>
      <c r="M141" s="28"/>
      <c r="N141" s="28"/>
      <c r="O141" s="230"/>
      <c r="P141" s="230"/>
      <c r="Q141" s="230"/>
      <c r="R141" s="230"/>
      <c r="S141" s="230"/>
      <c r="T141" s="230"/>
      <c r="U141" s="27"/>
      <c r="V141" s="34"/>
      <c r="W141" s="27"/>
      <c r="X141" s="34"/>
      <c r="Y141" s="161"/>
      <c r="Z141" s="34"/>
      <c r="AA141" s="27"/>
      <c r="AB141" s="27" t="s">
        <v>1255</v>
      </c>
      <c r="AC141" s="41" t="s">
        <v>1256</v>
      </c>
      <c r="AD141" s="32"/>
      <c r="AE141" s="32"/>
      <c r="AF141" s="32"/>
      <c r="AG141" s="32"/>
      <c r="AH141" s="32"/>
      <c r="AI141" s="32"/>
      <c r="AJ141" s="32"/>
      <c r="AK141" s="241"/>
      <c r="AL141" s="32" t="s">
        <v>1257</v>
      </c>
      <c r="AM141" s="32"/>
      <c r="AN141" s="32"/>
      <c r="AO141" s="32"/>
      <c r="AP141" s="32"/>
      <c r="AQ141" s="166" t="s">
        <v>1258</v>
      </c>
      <c r="AR141" s="103">
        <v>38.260978290384301</v>
      </c>
      <c r="AS141" s="159"/>
      <c r="AT141" s="191"/>
      <c r="AU141" s="232"/>
      <c r="AV141" s="166"/>
      <c r="AW141" s="166"/>
      <c r="AX141" s="232" t="s">
        <v>1259</v>
      </c>
      <c r="AY141" s="233">
        <v>10038568742411</v>
      </c>
      <c r="AZ141" s="108">
        <v>12.68</v>
      </c>
      <c r="BA141" s="108">
        <v>10.02</v>
      </c>
      <c r="BB141" s="108">
        <v>2.17</v>
      </c>
      <c r="BC141" s="151"/>
      <c r="BD141" s="151"/>
      <c r="BE141" s="151"/>
      <c r="BF141" s="153">
        <v>10.536</v>
      </c>
      <c r="BG141" s="153">
        <v>2.786</v>
      </c>
      <c r="BH141" s="153">
        <v>15.071999999999999</v>
      </c>
      <c r="BI141" s="157">
        <v>0.25602597066666666</v>
      </c>
      <c r="BJ141" s="153">
        <v>1.171</v>
      </c>
      <c r="BK141" s="235">
        <v>15.68</v>
      </c>
      <c r="BL141" s="235">
        <v>11.81</v>
      </c>
      <c r="BM141" s="235">
        <v>9.6199999999999992</v>
      </c>
      <c r="BN141" s="157">
        <v>1.0309255185185184</v>
      </c>
      <c r="BO141" s="153">
        <v>3.7629999999999999</v>
      </c>
      <c r="BP141" s="360"/>
      <c r="BQ141" s="360"/>
      <c r="BR141" s="228" t="s">
        <v>797</v>
      </c>
      <c r="BS141" s="228">
        <v>3</v>
      </c>
      <c r="BT141" s="228">
        <v>10</v>
      </c>
      <c r="BU141" s="228">
        <v>4</v>
      </c>
      <c r="BV141" s="29">
        <v>120</v>
      </c>
      <c r="BW141" s="29">
        <v>200.51999999999998</v>
      </c>
      <c r="BX141" s="228" t="s">
        <v>955</v>
      </c>
      <c r="BY141" s="29" t="s">
        <v>735</v>
      </c>
      <c r="BZ141" s="236"/>
      <c r="CA141" s="236"/>
      <c r="CB141" s="236"/>
      <c r="CC141" s="1"/>
      <c r="CD141" s="1"/>
      <c r="CE141" s="1"/>
      <c r="CF141" s="1"/>
      <c r="CG141" s="1"/>
      <c r="CH141" s="1"/>
      <c r="CI141" s="1"/>
      <c r="CJ141" s="1"/>
    </row>
    <row r="142" spans="1:88" s="237" customFormat="1" x14ac:dyDescent="0.25">
      <c r="A142" s="187">
        <v>42083</v>
      </c>
      <c r="B142" s="187"/>
      <c r="C142" s="224" t="s">
        <v>1260</v>
      </c>
      <c r="D142" s="229" t="s">
        <v>720</v>
      </c>
      <c r="E142" s="229" t="s">
        <v>1211</v>
      </c>
      <c r="F142" s="238" t="s">
        <v>1261</v>
      </c>
      <c r="G142" s="228" t="s">
        <v>1262</v>
      </c>
      <c r="H142" s="228" t="s">
        <v>1263</v>
      </c>
      <c r="I142" s="243"/>
      <c r="J142" s="32"/>
      <c r="K142" s="27"/>
      <c r="L142" s="28"/>
      <c r="M142" s="28"/>
      <c r="N142" s="28"/>
      <c r="O142" s="230"/>
      <c r="P142" s="230"/>
      <c r="Q142" s="230"/>
      <c r="R142" s="230"/>
      <c r="S142" s="230"/>
      <c r="T142" s="230"/>
      <c r="U142" s="27"/>
      <c r="V142" s="34"/>
      <c r="W142" s="27"/>
      <c r="X142" s="34"/>
      <c r="Y142" s="161"/>
      <c r="Z142" s="34"/>
      <c r="AA142" s="27"/>
      <c r="AB142" s="27" t="s">
        <v>1264</v>
      </c>
      <c r="AC142" s="166"/>
      <c r="AD142" s="32"/>
      <c r="AE142" s="32"/>
      <c r="AF142" s="32"/>
      <c r="AG142" s="32"/>
      <c r="AH142" s="32"/>
      <c r="AI142" s="32"/>
      <c r="AJ142" s="32"/>
      <c r="AK142" s="241"/>
      <c r="AL142" s="32" t="s">
        <v>1265</v>
      </c>
      <c r="AM142" s="32"/>
      <c r="AN142" s="32"/>
      <c r="AO142" s="32"/>
      <c r="AP142" s="32"/>
      <c r="AQ142" s="166" t="s">
        <v>1266</v>
      </c>
      <c r="AR142" s="103">
        <v>17.671072175387391</v>
      </c>
      <c r="AS142" s="159"/>
      <c r="AT142" s="191"/>
      <c r="AU142" s="232"/>
      <c r="AV142" s="166"/>
      <c r="AW142" s="166"/>
      <c r="AX142" s="232" t="s">
        <v>1267</v>
      </c>
      <c r="AY142" s="233">
        <v>10038568316056</v>
      </c>
      <c r="AZ142" s="108">
        <v>11.22</v>
      </c>
      <c r="BA142" s="108">
        <v>6.46</v>
      </c>
      <c r="BB142" s="108">
        <v>2.11</v>
      </c>
      <c r="BC142" s="151"/>
      <c r="BD142" s="151"/>
      <c r="BE142" s="151"/>
      <c r="BF142" s="153">
        <v>7.0359999999999996</v>
      </c>
      <c r="BG142" s="153">
        <v>2.536</v>
      </c>
      <c r="BH142" s="153">
        <v>11.821999999999999</v>
      </c>
      <c r="BI142" s="157">
        <v>0.12207375307407406</v>
      </c>
      <c r="BJ142" s="153">
        <v>0.80099999999999993</v>
      </c>
      <c r="BK142" s="235">
        <v>12.25</v>
      </c>
      <c r="BL142" s="235">
        <v>7.5</v>
      </c>
      <c r="BM142" s="235">
        <v>8.5</v>
      </c>
      <c r="BN142" s="157">
        <v>0.4519314236111111</v>
      </c>
      <c r="BO142" s="153">
        <v>2.6529999999999996</v>
      </c>
      <c r="BP142" s="360"/>
      <c r="BQ142" s="360"/>
      <c r="BR142" s="228" t="s">
        <v>797</v>
      </c>
      <c r="BS142" s="228">
        <v>3</v>
      </c>
      <c r="BT142" s="228">
        <v>20</v>
      </c>
      <c r="BU142" s="228">
        <v>5</v>
      </c>
      <c r="BV142" s="29">
        <v>300</v>
      </c>
      <c r="BW142" s="29">
        <v>315.29999999999995</v>
      </c>
      <c r="BX142" s="228" t="s">
        <v>955</v>
      </c>
      <c r="BY142" s="29" t="s">
        <v>735</v>
      </c>
      <c r="BZ142" s="236"/>
      <c r="CA142" s="236"/>
      <c r="CB142" s="236"/>
      <c r="CC142" s="1"/>
      <c r="CD142" s="1"/>
      <c r="CE142" s="1"/>
      <c r="CF142" s="1"/>
      <c r="CG142" s="1"/>
      <c r="CH142" s="1"/>
      <c r="CI142" s="1"/>
      <c r="CJ142" s="1"/>
    </row>
    <row r="143" spans="1:88" s="237" customFormat="1" x14ac:dyDescent="0.25">
      <c r="A143" s="187">
        <v>42083</v>
      </c>
      <c r="B143" s="187"/>
      <c r="C143" s="224" t="s">
        <v>1268</v>
      </c>
      <c r="D143" s="229" t="s">
        <v>720</v>
      </c>
      <c r="E143" s="229" t="s">
        <v>1211</v>
      </c>
      <c r="F143" s="238" t="s">
        <v>1269</v>
      </c>
      <c r="G143" s="228" t="s">
        <v>777</v>
      </c>
      <c r="H143" s="228">
        <v>2710940304</v>
      </c>
      <c r="I143" s="243"/>
      <c r="J143" s="32"/>
      <c r="K143" s="27"/>
      <c r="L143" s="28"/>
      <c r="M143" s="28"/>
      <c r="N143" s="28"/>
      <c r="O143" s="230"/>
      <c r="P143" s="230"/>
      <c r="Q143" s="230"/>
      <c r="R143" s="230"/>
      <c r="S143" s="230"/>
      <c r="T143" s="230"/>
      <c r="U143" s="27"/>
      <c r="V143" s="34"/>
      <c r="W143" s="27"/>
      <c r="X143" s="34"/>
      <c r="Y143" s="161"/>
      <c r="Z143" s="34"/>
      <c r="AA143" s="27"/>
      <c r="AB143" s="27" t="s">
        <v>1270</v>
      </c>
      <c r="AC143" s="166"/>
      <c r="AD143" s="32"/>
      <c r="AE143" s="32"/>
      <c r="AF143" s="32"/>
      <c r="AG143" s="32"/>
      <c r="AH143" s="32"/>
      <c r="AI143" s="32"/>
      <c r="AJ143" s="32"/>
      <c r="AK143" s="241"/>
      <c r="AL143" s="161"/>
      <c r="AM143" s="32"/>
      <c r="AN143" s="32"/>
      <c r="AO143" s="32"/>
      <c r="AP143" s="32"/>
      <c r="AQ143" s="27"/>
      <c r="AR143" s="103">
        <v>21.481383817820042</v>
      </c>
      <c r="AS143" s="159"/>
      <c r="AT143" s="191"/>
      <c r="AU143" s="232"/>
      <c r="AV143" s="27"/>
      <c r="AW143" s="27"/>
      <c r="AX143" s="232" t="s">
        <v>1271</v>
      </c>
      <c r="AY143" s="233">
        <v>10038568742480</v>
      </c>
      <c r="AZ143" s="108">
        <v>12.36</v>
      </c>
      <c r="BA143" s="108">
        <v>5.75</v>
      </c>
      <c r="BB143" s="108">
        <v>2.0099999999999998</v>
      </c>
      <c r="BC143" s="151"/>
      <c r="BD143" s="151"/>
      <c r="BE143" s="151"/>
      <c r="BF143" s="153">
        <v>9.2859999999999996</v>
      </c>
      <c r="BG143" s="153">
        <v>2.9060000000000001</v>
      </c>
      <c r="BH143" s="153">
        <v>13.191999999999998</v>
      </c>
      <c r="BI143" s="157">
        <v>0.20601137168518519</v>
      </c>
      <c r="BJ143" s="153">
        <v>0.5</v>
      </c>
      <c r="BK143" s="235">
        <v>13.87</v>
      </c>
      <c r="BL143" s="235">
        <v>9.75</v>
      </c>
      <c r="BM143" s="235">
        <v>10</v>
      </c>
      <c r="BN143" s="157">
        <v>0.78259548611111096</v>
      </c>
      <c r="BO143" s="153">
        <v>1.75</v>
      </c>
      <c r="BP143" s="360"/>
      <c r="BQ143" s="360"/>
      <c r="BR143" s="228" t="s">
        <v>797</v>
      </c>
      <c r="BS143" s="228">
        <v>3</v>
      </c>
      <c r="BT143" s="228">
        <v>13</v>
      </c>
      <c r="BU143" s="228">
        <v>4</v>
      </c>
      <c r="BV143" s="29">
        <v>156</v>
      </c>
      <c r="BW143" s="29">
        <v>141</v>
      </c>
      <c r="BX143" s="228" t="s">
        <v>743</v>
      </c>
      <c r="BY143" s="29" t="s">
        <v>735</v>
      </c>
      <c r="BZ143" s="236"/>
      <c r="CA143" s="236"/>
      <c r="CB143" s="236"/>
      <c r="CC143" s="1"/>
      <c r="CD143" s="1"/>
      <c r="CE143" s="1"/>
      <c r="CF143" s="1"/>
      <c r="CG143" s="1"/>
      <c r="CH143" s="1"/>
      <c r="CI143" s="1"/>
      <c r="CJ143" s="1"/>
    </row>
    <row r="144" spans="1:88" s="237" customFormat="1" x14ac:dyDescent="0.25">
      <c r="A144" s="187">
        <v>42083</v>
      </c>
      <c r="B144" s="187"/>
      <c r="C144" s="244" t="s">
        <v>1272</v>
      </c>
      <c r="D144" s="229" t="s">
        <v>720</v>
      </c>
      <c r="E144" s="229" t="s">
        <v>1211</v>
      </c>
      <c r="F144" s="239" t="s">
        <v>1273</v>
      </c>
      <c r="G144" s="243" t="s">
        <v>769</v>
      </c>
      <c r="H144" s="32">
        <v>13717599285</v>
      </c>
      <c r="I144" s="243"/>
      <c r="J144" s="32"/>
      <c r="K144" s="27"/>
      <c r="L144" s="28"/>
      <c r="M144" s="28"/>
      <c r="N144" s="28"/>
      <c r="O144" s="230"/>
      <c r="P144" s="230"/>
      <c r="Q144" s="230"/>
      <c r="R144" s="230"/>
      <c r="S144" s="230"/>
      <c r="T144" s="230"/>
      <c r="U144" s="27"/>
      <c r="V144" s="34"/>
      <c r="W144" s="27"/>
      <c r="X144" s="34"/>
      <c r="Y144" s="161"/>
      <c r="Z144" s="34"/>
      <c r="AA144" s="27"/>
      <c r="AB144" s="27"/>
      <c r="AC144" s="166"/>
      <c r="AD144" s="32"/>
      <c r="AE144" s="32"/>
      <c r="AF144" s="32"/>
      <c r="AG144" s="32"/>
      <c r="AH144" s="32"/>
      <c r="AI144" s="32"/>
      <c r="AJ144" s="32"/>
      <c r="AK144" s="241"/>
      <c r="AL144" s="161"/>
      <c r="AM144" s="32"/>
      <c r="AN144" s="32"/>
      <c r="AO144" s="32"/>
      <c r="AP144" s="32"/>
      <c r="AQ144" s="27"/>
      <c r="AR144" s="103">
        <v>24.970937007705327</v>
      </c>
      <c r="AS144" s="159"/>
      <c r="AT144" s="191"/>
      <c r="AU144" s="232"/>
      <c r="AV144" s="27"/>
      <c r="AW144" s="27"/>
      <c r="AX144" s="232" t="s">
        <v>1274</v>
      </c>
      <c r="AY144" s="233">
        <v>10038568742510</v>
      </c>
      <c r="AZ144" s="108">
        <v>11.2</v>
      </c>
      <c r="BA144" s="108">
        <v>10.43</v>
      </c>
      <c r="BB144" s="108">
        <v>1.28</v>
      </c>
      <c r="BC144" s="151"/>
      <c r="BD144" s="151"/>
      <c r="BE144" s="151"/>
      <c r="BF144" s="153">
        <v>12.155999999999999</v>
      </c>
      <c r="BG144" s="153">
        <v>2.5960000000000001</v>
      </c>
      <c r="BH144" s="153">
        <v>12.191999999999998</v>
      </c>
      <c r="BI144" s="157">
        <v>0.22265199733333332</v>
      </c>
      <c r="BJ144" s="153">
        <v>0.60699999999999998</v>
      </c>
      <c r="BK144" s="235">
        <v>12.62</v>
      </c>
      <c r="BL144" s="235">
        <v>8.3699999999999992</v>
      </c>
      <c r="BM144" s="235">
        <v>12.87</v>
      </c>
      <c r="BN144" s="157">
        <v>0.78671896874999969</v>
      </c>
      <c r="BO144" s="153">
        <v>2.0709999999999997</v>
      </c>
      <c r="BP144" s="360"/>
      <c r="BQ144" s="360"/>
      <c r="BR144" s="228" t="s">
        <v>797</v>
      </c>
      <c r="BS144" s="228">
        <v>3</v>
      </c>
      <c r="BT144" s="228">
        <v>16</v>
      </c>
      <c r="BU144" s="228">
        <v>5</v>
      </c>
      <c r="BV144" s="29">
        <v>240</v>
      </c>
      <c r="BW144" s="29">
        <v>215.67999999999998</v>
      </c>
      <c r="BX144" s="228" t="s">
        <v>734</v>
      </c>
      <c r="BY144" s="29" t="s">
        <v>735</v>
      </c>
      <c r="BZ144" s="236"/>
      <c r="CA144" s="236"/>
      <c r="CB144" s="236"/>
      <c r="CC144" s="1"/>
      <c r="CD144" s="1"/>
      <c r="CE144" s="1"/>
      <c r="CF144" s="1"/>
      <c r="CG144" s="1"/>
      <c r="CH144" s="1"/>
      <c r="CI144" s="1"/>
      <c r="CJ144" s="1"/>
    </row>
    <row r="145" spans="1:88" s="237" customFormat="1" x14ac:dyDescent="0.25">
      <c r="A145" s="187">
        <v>42083</v>
      </c>
      <c r="B145" s="187"/>
      <c r="C145" s="240" t="s">
        <v>1275</v>
      </c>
      <c r="D145" s="229" t="s">
        <v>60</v>
      </c>
      <c r="E145" s="229" t="s">
        <v>1276</v>
      </c>
      <c r="F145" s="239" t="s">
        <v>1277</v>
      </c>
      <c r="G145" s="228" t="s">
        <v>1278</v>
      </c>
      <c r="H145" s="228" t="s">
        <v>1279</v>
      </c>
      <c r="I145" s="243"/>
      <c r="J145" s="32"/>
      <c r="K145" s="27"/>
      <c r="L145" s="28"/>
      <c r="M145" s="28"/>
      <c r="N145" s="28"/>
      <c r="O145" s="230"/>
      <c r="P145" s="230"/>
      <c r="Q145" s="230"/>
      <c r="R145" s="230"/>
      <c r="S145" s="230"/>
      <c r="T145" s="230"/>
      <c r="U145" s="27"/>
      <c r="V145" s="34"/>
      <c r="W145" s="27"/>
      <c r="X145" s="34"/>
      <c r="Y145" s="161" t="s">
        <v>1280</v>
      </c>
      <c r="Z145" s="34"/>
      <c r="AA145" s="27"/>
      <c r="AB145" s="27"/>
      <c r="AC145" s="166"/>
      <c r="AD145" s="32"/>
      <c r="AE145" s="32"/>
      <c r="AF145" s="32"/>
      <c r="AG145" s="32"/>
      <c r="AH145" s="32"/>
      <c r="AI145" s="32"/>
      <c r="AJ145" s="32"/>
      <c r="AK145" s="241"/>
      <c r="AL145" s="161"/>
      <c r="AM145" s="32"/>
      <c r="AN145" s="32"/>
      <c r="AO145" s="32"/>
      <c r="AP145" s="32"/>
      <c r="AQ145" s="27" t="s">
        <v>1281</v>
      </c>
      <c r="AR145" s="103">
        <v>59.04</v>
      </c>
      <c r="AS145" s="159">
        <v>0.5</v>
      </c>
      <c r="AT145" s="191">
        <v>0.55000000000000004</v>
      </c>
      <c r="AU145" s="245">
        <v>0.4</v>
      </c>
      <c r="AV145" s="27"/>
      <c r="AW145" s="27"/>
      <c r="AX145" s="246" t="s">
        <v>1282</v>
      </c>
      <c r="AY145" s="247" t="s">
        <v>1283</v>
      </c>
      <c r="AZ145" s="108"/>
      <c r="BA145" s="108"/>
      <c r="BB145" s="108"/>
      <c r="BC145" s="108">
        <v>1.63</v>
      </c>
      <c r="BD145" s="108">
        <v>3.54</v>
      </c>
      <c r="BE145" s="151"/>
      <c r="BF145" s="452" t="s">
        <v>989</v>
      </c>
      <c r="BG145" s="452"/>
      <c r="BH145" s="452"/>
      <c r="BI145" s="452"/>
      <c r="BJ145" s="452"/>
      <c r="BK145" s="153">
        <v>3.375</v>
      </c>
      <c r="BL145" s="153">
        <v>3.375</v>
      </c>
      <c r="BM145" s="153">
        <v>5</v>
      </c>
      <c r="BN145" s="157">
        <v>3.2958984375E-2</v>
      </c>
      <c r="BO145" s="153">
        <v>1.85</v>
      </c>
      <c r="BP145" s="360"/>
      <c r="BQ145" s="360"/>
      <c r="BR145" s="146" t="s">
        <v>733</v>
      </c>
      <c r="BS145" s="29">
        <v>1</v>
      </c>
      <c r="BT145" s="29">
        <v>357</v>
      </c>
      <c r="BU145" s="29">
        <v>9</v>
      </c>
      <c r="BV145" s="29">
        <v>3213</v>
      </c>
      <c r="BW145" s="29">
        <v>5994.05</v>
      </c>
      <c r="BX145" s="228" t="s">
        <v>76</v>
      </c>
      <c r="BY145" s="29" t="s">
        <v>735</v>
      </c>
      <c r="BZ145" s="236"/>
      <c r="CA145" s="236"/>
      <c r="CB145" s="236"/>
      <c r="CC145" s="1"/>
      <c r="CD145" s="1"/>
      <c r="CE145" s="1"/>
      <c r="CF145" s="1"/>
      <c r="CG145" s="1"/>
      <c r="CH145" s="1"/>
      <c r="CI145" s="1"/>
      <c r="CJ145" s="1"/>
    </row>
    <row r="146" spans="1:88" s="237" customFormat="1" x14ac:dyDescent="0.25">
      <c r="A146" s="187">
        <v>42083</v>
      </c>
      <c r="B146" s="187"/>
      <c r="C146" s="240" t="s">
        <v>1284</v>
      </c>
      <c r="D146" s="229" t="s">
        <v>60</v>
      </c>
      <c r="E146" s="229" t="s">
        <v>1276</v>
      </c>
      <c r="F146" s="239" t="s">
        <v>850</v>
      </c>
      <c r="G146" s="239" t="s">
        <v>850</v>
      </c>
      <c r="H146" s="228" t="s">
        <v>1285</v>
      </c>
      <c r="I146" s="243"/>
      <c r="J146" s="32"/>
      <c r="K146" s="27"/>
      <c r="L146" s="28"/>
      <c r="M146" s="28"/>
      <c r="N146" s="28"/>
      <c r="O146" s="230"/>
      <c r="P146" s="230"/>
      <c r="Q146" s="230"/>
      <c r="R146" s="230"/>
      <c r="S146" s="230"/>
      <c r="T146" s="230"/>
      <c r="U146" s="27" t="s">
        <v>1286</v>
      </c>
      <c r="V146" s="34"/>
      <c r="W146" s="27"/>
      <c r="X146" s="34"/>
      <c r="Y146" s="161"/>
      <c r="Z146" s="34"/>
      <c r="AA146" s="27"/>
      <c r="AB146" s="27"/>
      <c r="AC146" s="166"/>
      <c r="AD146" s="32"/>
      <c r="AE146" s="32"/>
      <c r="AF146" s="32"/>
      <c r="AG146" s="32"/>
      <c r="AH146" s="32"/>
      <c r="AI146" s="32"/>
      <c r="AJ146" s="32"/>
      <c r="AK146" s="241"/>
      <c r="AL146" s="161"/>
      <c r="AM146" s="32"/>
      <c r="AN146" s="32"/>
      <c r="AO146" s="32"/>
      <c r="AP146" s="32"/>
      <c r="AQ146" s="27" t="s">
        <v>1287</v>
      </c>
      <c r="AR146" s="103">
        <v>26.09</v>
      </c>
      <c r="AS146" s="159">
        <v>0.5</v>
      </c>
      <c r="AT146" s="191">
        <v>0.55000000000000004</v>
      </c>
      <c r="AU146" s="245">
        <v>0.4</v>
      </c>
      <c r="AV146" s="27"/>
      <c r="AW146" s="27"/>
      <c r="AX146" s="246" t="s">
        <v>1288</v>
      </c>
      <c r="AY146" s="247" t="s">
        <v>1289</v>
      </c>
      <c r="AZ146" s="108"/>
      <c r="BA146" s="108"/>
      <c r="BB146" s="108"/>
      <c r="BC146" s="108">
        <v>2.04</v>
      </c>
      <c r="BD146" s="108">
        <v>2.95</v>
      </c>
      <c r="BE146" s="151"/>
      <c r="BF146" s="452" t="s">
        <v>989</v>
      </c>
      <c r="BG146" s="452"/>
      <c r="BH146" s="452"/>
      <c r="BI146" s="452"/>
      <c r="BJ146" s="452"/>
      <c r="BK146" s="153">
        <v>2.5</v>
      </c>
      <c r="BL146" s="153">
        <v>2.5</v>
      </c>
      <c r="BM146" s="153">
        <v>5</v>
      </c>
      <c r="BN146" s="157">
        <v>1.8084490740740741E-2</v>
      </c>
      <c r="BO146" s="153">
        <v>0.55000000000000004</v>
      </c>
      <c r="BP146" s="360"/>
      <c r="BQ146" s="360"/>
      <c r="BR146" s="146" t="s">
        <v>733</v>
      </c>
      <c r="BS146" s="29">
        <v>1</v>
      </c>
      <c r="BT146" s="29">
        <v>357</v>
      </c>
      <c r="BU146" s="29">
        <v>9</v>
      </c>
      <c r="BV146" s="29">
        <v>3213</v>
      </c>
      <c r="BW146" s="29">
        <v>1817.15</v>
      </c>
      <c r="BX146" s="228" t="s">
        <v>76</v>
      </c>
      <c r="BY146" s="29" t="s">
        <v>735</v>
      </c>
      <c r="BZ146" s="236"/>
      <c r="CA146" s="236"/>
      <c r="CB146" s="236"/>
      <c r="CC146" s="1"/>
      <c r="CD146" s="1"/>
      <c r="CE146" s="1"/>
      <c r="CF146" s="1"/>
      <c r="CG146" s="1"/>
      <c r="CH146" s="1"/>
      <c r="CI146" s="1"/>
      <c r="CJ146" s="1"/>
    </row>
    <row r="147" spans="1:88" s="237" customFormat="1" x14ac:dyDescent="0.25">
      <c r="A147" s="187">
        <v>42083</v>
      </c>
      <c r="B147" s="187"/>
      <c r="C147" s="240" t="s">
        <v>1290</v>
      </c>
      <c r="D147" s="229" t="s">
        <v>60</v>
      </c>
      <c r="E147" s="229" t="s">
        <v>1276</v>
      </c>
      <c r="F147" s="239" t="s">
        <v>1291</v>
      </c>
      <c r="G147" s="239" t="s">
        <v>850</v>
      </c>
      <c r="H147" s="228" t="s">
        <v>1292</v>
      </c>
      <c r="I147" s="243" t="s">
        <v>1293</v>
      </c>
      <c r="J147" s="32">
        <v>32910801</v>
      </c>
      <c r="K147" s="27"/>
      <c r="L147" s="28"/>
      <c r="M147" s="28"/>
      <c r="N147" s="28"/>
      <c r="O147" s="230"/>
      <c r="P147" s="230"/>
      <c r="Q147" s="230"/>
      <c r="R147" s="230"/>
      <c r="S147" s="230"/>
      <c r="T147" s="230"/>
      <c r="U147" s="27" t="s">
        <v>1294</v>
      </c>
      <c r="V147" s="34"/>
      <c r="W147" s="27"/>
      <c r="X147" s="34"/>
      <c r="Y147" s="161" t="s">
        <v>1295</v>
      </c>
      <c r="Z147" s="34"/>
      <c r="AA147" s="27" t="s">
        <v>1296</v>
      </c>
      <c r="AB147" s="27"/>
      <c r="AC147" s="166"/>
      <c r="AD147" s="32"/>
      <c r="AE147" s="32"/>
      <c r="AF147" s="32"/>
      <c r="AG147" s="32"/>
      <c r="AH147" s="32"/>
      <c r="AI147" s="32"/>
      <c r="AJ147" s="32"/>
      <c r="AK147" s="241"/>
      <c r="AL147" s="161"/>
      <c r="AM147" s="32"/>
      <c r="AN147" s="32"/>
      <c r="AO147" s="32"/>
      <c r="AP147" s="32"/>
      <c r="AQ147" s="27" t="s">
        <v>1297</v>
      </c>
      <c r="AR147" s="103">
        <v>60.07</v>
      </c>
      <c r="AS147" s="159">
        <v>0.5</v>
      </c>
      <c r="AT147" s="191">
        <v>0.55000000000000004</v>
      </c>
      <c r="AU147" s="245">
        <v>0.4</v>
      </c>
      <c r="AV147" s="27"/>
      <c r="AW147" s="27"/>
      <c r="AX147" s="246" t="s">
        <v>1298</v>
      </c>
      <c r="AY147" s="247" t="s">
        <v>1299</v>
      </c>
      <c r="AZ147" s="108"/>
      <c r="BA147" s="108"/>
      <c r="BB147" s="108"/>
      <c r="BC147" s="108">
        <v>2.76</v>
      </c>
      <c r="BD147" s="108">
        <v>5.24</v>
      </c>
      <c r="BE147" s="151"/>
      <c r="BF147" s="452" t="s">
        <v>989</v>
      </c>
      <c r="BG147" s="452"/>
      <c r="BH147" s="452"/>
      <c r="BI147" s="452"/>
      <c r="BJ147" s="452"/>
      <c r="BK147" s="153">
        <v>3.75</v>
      </c>
      <c r="BL147" s="153">
        <v>3.75</v>
      </c>
      <c r="BM147" s="153">
        <v>10.5</v>
      </c>
      <c r="BN147" s="157">
        <v>8.544921875E-2</v>
      </c>
      <c r="BO147" s="153">
        <v>0.55000000000000004</v>
      </c>
      <c r="BP147" s="360"/>
      <c r="BQ147" s="360"/>
      <c r="BR147" s="146" t="s">
        <v>733</v>
      </c>
      <c r="BS147" s="29">
        <v>1</v>
      </c>
      <c r="BT147" s="29">
        <v>120</v>
      </c>
      <c r="BU147" s="29">
        <v>4</v>
      </c>
      <c r="BV147" s="29">
        <v>480</v>
      </c>
      <c r="BW147" s="29">
        <v>314</v>
      </c>
      <c r="BX147" s="228" t="s">
        <v>76</v>
      </c>
      <c r="BY147" s="29" t="s">
        <v>735</v>
      </c>
      <c r="BZ147" s="236"/>
      <c r="CA147" s="236"/>
      <c r="CB147" s="236"/>
      <c r="CC147" s="1"/>
      <c r="CD147" s="1"/>
      <c r="CE147" s="1"/>
      <c r="CF147" s="1"/>
      <c r="CG147" s="1"/>
      <c r="CH147" s="1"/>
      <c r="CI147" s="1"/>
      <c r="CJ147" s="1"/>
    </row>
    <row r="148" spans="1:88" s="237" customFormat="1" x14ac:dyDescent="0.25">
      <c r="A148" s="187">
        <v>42083</v>
      </c>
      <c r="B148" s="187"/>
      <c r="C148" s="240" t="s">
        <v>1300</v>
      </c>
      <c r="D148" s="229" t="s">
        <v>60</v>
      </c>
      <c r="E148" s="229" t="s">
        <v>1276</v>
      </c>
      <c r="F148" s="239" t="s">
        <v>1301</v>
      </c>
      <c r="G148" s="239" t="s">
        <v>1301</v>
      </c>
      <c r="H148" s="228" t="s">
        <v>1302</v>
      </c>
      <c r="I148" s="243"/>
      <c r="J148" s="32"/>
      <c r="K148" s="27"/>
      <c r="L148" s="28"/>
      <c r="M148" s="28"/>
      <c r="N148" s="28"/>
      <c r="O148" s="230"/>
      <c r="P148" s="230"/>
      <c r="Q148" s="230"/>
      <c r="R148" s="230"/>
      <c r="S148" s="230"/>
      <c r="T148" s="241"/>
      <c r="U148" s="27"/>
      <c r="V148" s="34"/>
      <c r="W148" s="27"/>
      <c r="X148" s="34"/>
      <c r="Y148" s="161"/>
      <c r="Z148" s="34"/>
      <c r="AA148" s="27"/>
      <c r="AB148" s="27"/>
      <c r="AC148" s="166"/>
      <c r="AD148" s="32"/>
      <c r="AE148" s="32"/>
      <c r="AF148" s="32"/>
      <c r="AG148" s="32"/>
      <c r="AH148" s="32"/>
      <c r="AI148" s="32"/>
      <c r="AJ148" s="32"/>
      <c r="AK148" s="241"/>
      <c r="AL148" s="161"/>
      <c r="AM148" s="32"/>
      <c r="AN148" s="32"/>
      <c r="AO148" s="32"/>
      <c r="AP148" s="27"/>
      <c r="AQ148" s="27" t="s">
        <v>1303</v>
      </c>
      <c r="AR148" s="103">
        <v>142.46</v>
      </c>
      <c r="AS148" s="159">
        <v>0.5</v>
      </c>
      <c r="AT148" s="191">
        <v>0.55000000000000004</v>
      </c>
      <c r="AU148" s="245">
        <v>0.4</v>
      </c>
      <c r="AV148" s="27"/>
      <c r="AW148" s="27"/>
      <c r="AX148" s="246" t="s">
        <v>1282</v>
      </c>
      <c r="AY148" s="247" t="s">
        <v>1283</v>
      </c>
      <c r="AZ148" s="108"/>
      <c r="BA148" s="108"/>
      <c r="BB148" s="108"/>
      <c r="BC148" s="108">
        <v>1.63</v>
      </c>
      <c r="BD148" s="108">
        <v>3.54</v>
      </c>
      <c r="BE148" s="151"/>
      <c r="BF148" s="452" t="s">
        <v>989</v>
      </c>
      <c r="BG148" s="452"/>
      <c r="BH148" s="452"/>
      <c r="BI148" s="452"/>
      <c r="BJ148" s="452"/>
      <c r="BK148" s="153">
        <v>3.375</v>
      </c>
      <c r="BL148" s="153">
        <v>3.375</v>
      </c>
      <c r="BM148" s="153">
        <v>5</v>
      </c>
      <c r="BN148" s="157">
        <v>3.2958984375E-2</v>
      </c>
      <c r="BO148" s="153">
        <v>1.85</v>
      </c>
      <c r="BP148" s="360"/>
      <c r="BQ148" s="360"/>
      <c r="BR148" s="116" t="s">
        <v>733</v>
      </c>
      <c r="BS148" s="29">
        <v>1</v>
      </c>
      <c r="BT148" s="29">
        <v>357</v>
      </c>
      <c r="BU148" s="29">
        <v>9</v>
      </c>
      <c r="BV148" s="29">
        <v>3213</v>
      </c>
      <c r="BW148" s="29">
        <v>5994.05</v>
      </c>
      <c r="BX148" s="228" t="s">
        <v>76</v>
      </c>
      <c r="BY148" s="29" t="s">
        <v>735</v>
      </c>
      <c r="BZ148" s="236"/>
      <c r="CA148" s="236"/>
      <c r="CB148" s="236"/>
      <c r="CC148" s="1"/>
      <c r="CD148" s="1"/>
      <c r="CE148" s="1"/>
      <c r="CF148" s="1"/>
      <c r="CG148" s="1"/>
      <c r="CH148" s="1"/>
      <c r="CI148" s="1"/>
      <c r="CJ148" s="1"/>
    </row>
    <row r="149" spans="1:88" s="237" customFormat="1" ht="30" x14ac:dyDescent="0.25">
      <c r="A149" s="187">
        <v>42083</v>
      </c>
      <c r="B149" s="187"/>
      <c r="C149" s="244" t="s">
        <v>1304</v>
      </c>
      <c r="D149" s="229" t="s">
        <v>60</v>
      </c>
      <c r="E149" s="229" t="s">
        <v>1305</v>
      </c>
      <c r="F149" s="239" t="s">
        <v>1306</v>
      </c>
      <c r="G149" s="243" t="s">
        <v>1307</v>
      </c>
      <c r="H149" s="32" t="s">
        <v>1308</v>
      </c>
      <c r="I149" s="243"/>
      <c r="J149" s="32"/>
      <c r="K149" s="27"/>
      <c r="L149" s="28"/>
      <c r="M149" s="28"/>
      <c r="N149" s="28"/>
      <c r="O149" s="230"/>
      <c r="P149" s="230"/>
      <c r="Q149" s="230"/>
      <c r="R149" s="230"/>
      <c r="S149" s="230"/>
      <c r="T149" s="230"/>
      <c r="U149" s="27"/>
      <c r="V149" s="34"/>
      <c r="W149" s="27"/>
      <c r="X149" s="34"/>
      <c r="Y149" s="161"/>
      <c r="Z149" s="34"/>
      <c r="AA149" s="27"/>
      <c r="AB149" s="27"/>
      <c r="AC149" s="166"/>
      <c r="AD149" s="32"/>
      <c r="AE149" s="32"/>
      <c r="AF149" s="32"/>
      <c r="AG149" s="32"/>
      <c r="AH149" s="32"/>
      <c r="AI149" s="32"/>
      <c r="AJ149" s="32"/>
      <c r="AK149" s="241"/>
      <c r="AL149" s="161"/>
      <c r="AM149" s="32"/>
      <c r="AN149" s="32"/>
      <c r="AO149" s="32"/>
      <c r="AP149" s="32"/>
      <c r="AQ149" s="27"/>
      <c r="AR149" s="103">
        <v>27.823519929822275</v>
      </c>
      <c r="AS149" s="159">
        <v>0.5</v>
      </c>
      <c r="AT149" s="191">
        <v>0.55000000000000004</v>
      </c>
      <c r="AU149" s="192">
        <v>0.4</v>
      </c>
      <c r="AV149" s="27"/>
      <c r="AW149" s="27"/>
      <c r="AX149" s="232" t="s">
        <v>1309</v>
      </c>
      <c r="AY149" s="233">
        <v>10038568741551</v>
      </c>
      <c r="AZ149" s="151"/>
      <c r="BA149" s="151"/>
      <c r="BB149" s="151"/>
      <c r="BC149" s="157">
        <v>2.76</v>
      </c>
      <c r="BD149" s="157">
        <v>5.22</v>
      </c>
      <c r="BE149" s="157">
        <v>0.83</v>
      </c>
      <c r="BF149" s="456" t="s">
        <v>989</v>
      </c>
      <c r="BG149" s="456"/>
      <c r="BH149" s="456"/>
      <c r="BI149" s="456"/>
      <c r="BJ149" s="456"/>
      <c r="BK149" s="235">
        <v>9.3800000000000008</v>
      </c>
      <c r="BL149" s="235">
        <v>6.5</v>
      </c>
      <c r="BM149" s="235">
        <v>7.38</v>
      </c>
      <c r="BN149" s="157">
        <v>0.26039270833333333</v>
      </c>
      <c r="BO149" s="153">
        <v>1.4500000000000002</v>
      </c>
      <c r="BP149" s="360"/>
      <c r="BQ149" s="360"/>
      <c r="BR149" s="228" t="s">
        <v>797</v>
      </c>
      <c r="BS149" s="228">
        <v>6</v>
      </c>
      <c r="BT149" s="228">
        <v>30</v>
      </c>
      <c r="BU149" s="228">
        <v>6</v>
      </c>
      <c r="BV149" s="29">
        <v>1080</v>
      </c>
      <c r="BW149" s="29">
        <v>311.00000000000006</v>
      </c>
      <c r="BX149" s="228" t="s">
        <v>743</v>
      </c>
      <c r="BY149" s="29" t="s">
        <v>735</v>
      </c>
      <c r="BZ149" s="236"/>
      <c r="CA149" s="236"/>
      <c r="CB149" s="236"/>
      <c r="CC149" s="1"/>
      <c r="CD149" s="1"/>
      <c r="CE149" s="1"/>
      <c r="CF149" s="1"/>
      <c r="CG149" s="1"/>
      <c r="CH149" s="1"/>
      <c r="CI149" s="1"/>
      <c r="CJ149" s="1"/>
    </row>
    <row r="150" spans="1:88" s="237" customFormat="1" ht="30" x14ac:dyDescent="0.25">
      <c r="A150" s="187">
        <v>42083</v>
      </c>
      <c r="B150" s="187"/>
      <c r="C150" s="248" t="s">
        <v>1310</v>
      </c>
      <c r="D150" s="229" t="s">
        <v>60</v>
      </c>
      <c r="E150" s="229" t="s">
        <v>1305</v>
      </c>
      <c r="F150" s="223" t="s">
        <v>1311</v>
      </c>
      <c r="G150" s="243" t="s">
        <v>967</v>
      </c>
      <c r="H150" s="32" t="s">
        <v>1312</v>
      </c>
      <c r="I150" s="243" t="s">
        <v>722</v>
      </c>
      <c r="J150" s="32" t="s">
        <v>1313</v>
      </c>
      <c r="K150" s="27"/>
      <c r="L150" s="28"/>
      <c r="M150" s="28"/>
      <c r="N150" s="28"/>
      <c r="O150" s="230"/>
      <c r="P150" s="230"/>
      <c r="Q150" s="230"/>
      <c r="R150" s="230"/>
      <c r="S150" s="230"/>
      <c r="T150" s="230"/>
      <c r="U150" s="27" t="s">
        <v>1314</v>
      </c>
      <c r="V150" s="34"/>
      <c r="W150" s="27"/>
      <c r="X150" s="34"/>
      <c r="Y150" s="27" t="s">
        <v>1315</v>
      </c>
      <c r="Z150" s="34"/>
      <c r="AA150" s="27" t="s">
        <v>1316</v>
      </c>
      <c r="AB150" s="27" t="s">
        <v>1317</v>
      </c>
      <c r="AC150" s="166"/>
      <c r="AD150" s="32"/>
      <c r="AE150" s="32"/>
      <c r="AF150" s="32"/>
      <c r="AG150" s="32"/>
      <c r="AH150" s="32"/>
      <c r="AI150" s="32"/>
      <c r="AJ150" s="32"/>
      <c r="AK150" s="241"/>
      <c r="AL150" s="161"/>
      <c r="AM150" s="32"/>
      <c r="AN150" s="32"/>
      <c r="AO150" s="32"/>
      <c r="AP150" s="32"/>
      <c r="AQ150" s="27">
        <v>57899</v>
      </c>
      <c r="AR150" s="103">
        <v>6.62</v>
      </c>
      <c r="AS150" s="159">
        <v>0.5</v>
      </c>
      <c r="AT150" s="191">
        <v>0.55000000000000004</v>
      </c>
      <c r="AU150" s="192">
        <v>0.4</v>
      </c>
      <c r="AV150" s="27"/>
      <c r="AW150" s="27"/>
      <c r="AX150" s="232" t="s">
        <v>1318</v>
      </c>
      <c r="AY150" s="233">
        <v>10038568742176</v>
      </c>
      <c r="AZ150" s="151"/>
      <c r="BA150" s="151"/>
      <c r="BB150" s="151"/>
      <c r="BC150" s="157">
        <v>3.65</v>
      </c>
      <c r="BD150" s="157">
        <v>3.6360000000000001</v>
      </c>
      <c r="BE150" s="157">
        <v>2.4209999999999998</v>
      </c>
      <c r="BF150" s="153">
        <v>3.8460000000000001</v>
      </c>
      <c r="BG150" s="153">
        <v>3.8460000000000001</v>
      </c>
      <c r="BH150" s="153">
        <v>4.0720000000000001</v>
      </c>
      <c r="BI150" s="157">
        <v>3.4856404833333333E-2</v>
      </c>
      <c r="BJ150" s="153">
        <v>0.99</v>
      </c>
      <c r="BK150" s="235">
        <v>15.81</v>
      </c>
      <c r="BL150" s="235">
        <v>11.93</v>
      </c>
      <c r="BM150" s="235">
        <v>4.62</v>
      </c>
      <c r="BN150" s="157">
        <v>0.50427861458333334</v>
      </c>
      <c r="BO150" s="153">
        <v>12.129999999999999</v>
      </c>
      <c r="BP150" s="360"/>
      <c r="BQ150" s="360"/>
      <c r="BR150" s="228" t="s">
        <v>797</v>
      </c>
      <c r="BS150" s="228">
        <v>12</v>
      </c>
      <c r="BT150" s="228">
        <v>10</v>
      </c>
      <c r="BU150" s="228">
        <v>9</v>
      </c>
      <c r="BV150" s="29">
        <v>1080</v>
      </c>
      <c r="BW150" s="29">
        <v>1141.6999999999998</v>
      </c>
      <c r="BX150" s="228" t="s">
        <v>890</v>
      </c>
      <c r="BY150" s="29" t="s">
        <v>735</v>
      </c>
      <c r="BZ150" s="236"/>
      <c r="CA150" s="236"/>
      <c r="CB150" s="236"/>
      <c r="CC150" s="1"/>
      <c r="CD150" s="1"/>
      <c r="CE150" s="1"/>
      <c r="CF150" s="1"/>
      <c r="CG150" s="1"/>
      <c r="CH150" s="1"/>
      <c r="CI150" s="1"/>
      <c r="CJ150" s="1"/>
    </row>
    <row r="151" spans="1:88" s="237" customFormat="1" ht="30" x14ac:dyDescent="0.25">
      <c r="A151" s="187">
        <v>42083</v>
      </c>
      <c r="B151" s="187"/>
      <c r="C151" s="248" t="s">
        <v>1319</v>
      </c>
      <c r="D151" s="229" t="s">
        <v>60</v>
      </c>
      <c r="E151" s="229" t="s">
        <v>1305</v>
      </c>
      <c r="F151" s="223" t="s">
        <v>1320</v>
      </c>
      <c r="G151" s="243" t="s">
        <v>722</v>
      </c>
      <c r="H151" s="32" t="s">
        <v>1321</v>
      </c>
      <c r="I151" s="243" t="s">
        <v>49</v>
      </c>
      <c r="J151" s="32" t="s">
        <v>1322</v>
      </c>
      <c r="K151" s="27"/>
      <c r="L151" s="28"/>
      <c r="M151" s="28"/>
      <c r="N151" s="28"/>
      <c r="O151" s="230"/>
      <c r="P151" s="230"/>
      <c r="Q151" s="230"/>
      <c r="R151" s="230"/>
      <c r="S151" s="230"/>
      <c r="T151" s="230"/>
      <c r="U151" s="27" t="s">
        <v>1323</v>
      </c>
      <c r="V151" s="34"/>
      <c r="W151" s="27"/>
      <c r="X151" s="34"/>
      <c r="Y151" s="161" t="s">
        <v>1324</v>
      </c>
      <c r="Z151" s="34"/>
      <c r="AA151" s="27" t="s">
        <v>1325</v>
      </c>
      <c r="AB151" s="27" t="s">
        <v>1326</v>
      </c>
      <c r="AC151" s="166"/>
      <c r="AD151" s="32"/>
      <c r="AE151" s="32"/>
      <c r="AF151" s="32"/>
      <c r="AG151" s="32"/>
      <c r="AH151" s="32"/>
      <c r="AI151" s="32"/>
      <c r="AJ151" s="32"/>
      <c r="AK151" s="241"/>
      <c r="AL151" s="161"/>
      <c r="AM151" s="32"/>
      <c r="AN151" s="32"/>
      <c r="AO151" s="32"/>
      <c r="AP151" s="32"/>
      <c r="AQ151" s="27">
        <v>57301</v>
      </c>
      <c r="AR151" s="103">
        <v>7.24</v>
      </c>
      <c r="AS151" s="159">
        <v>0.5</v>
      </c>
      <c r="AT151" s="191">
        <v>0.55000000000000004</v>
      </c>
      <c r="AU151" s="192">
        <v>0.4</v>
      </c>
      <c r="AV151" s="27"/>
      <c r="AW151" s="27"/>
      <c r="AX151" s="232" t="s">
        <v>1327</v>
      </c>
      <c r="AY151" s="233">
        <v>10038568742237</v>
      </c>
      <c r="AZ151" s="151"/>
      <c r="BA151" s="151"/>
      <c r="BB151" s="151"/>
      <c r="BC151" s="157">
        <v>2.96</v>
      </c>
      <c r="BD151" s="157">
        <v>4.8159999999999998</v>
      </c>
      <c r="BE151" s="157">
        <v>2.39</v>
      </c>
      <c r="BF151" s="153">
        <v>3.1859999999999999</v>
      </c>
      <c r="BG151" s="153">
        <v>3.1920000000000002</v>
      </c>
      <c r="BH151" s="153">
        <v>4.9470000000000001</v>
      </c>
      <c r="BI151" s="157">
        <v>2.911433175E-2</v>
      </c>
      <c r="BJ151" s="153">
        <v>0.77</v>
      </c>
      <c r="BK151" s="235">
        <v>13.25</v>
      </c>
      <c r="BL151" s="235">
        <v>10</v>
      </c>
      <c r="BM151" s="235">
        <v>5.5</v>
      </c>
      <c r="BN151" s="157">
        <v>0.42173032407407407</v>
      </c>
      <c r="BO151" s="153">
        <v>9.49</v>
      </c>
      <c r="BP151" s="360"/>
      <c r="BQ151" s="360"/>
      <c r="BR151" s="228" t="s">
        <v>797</v>
      </c>
      <c r="BS151" s="228">
        <v>12</v>
      </c>
      <c r="BT151" s="228">
        <v>14</v>
      </c>
      <c r="BU151" s="228">
        <v>8</v>
      </c>
      <c r="BV151" s="29">
        <v>1344</v>
      </c>
      <c r="BW151" s="29">
        <v>1112.8800000000001</v>
      </c>
      <c r="BX151" s="228" t="s">
        <v>890</v>
      </c>
      <c r="BY151" s="29" t="s">
        <v>735</v>
      </c>
      <c r="BZ151" s="236"/>
      <c r="CA151" s="236"/>
      <c r="CB151" s="236"/>
      <c r="CC151" s="1"/>
      <c r="CD151" s="1"/>
      <c r="CE151" s="1"/>
      <c r="CF151" s="1"/>
      <c r="CG151" s="1"/>
      <c r="CH151" s="1"/>
      <c r="CI151" s="1"/>
      <c r="CJ151" s="1"/>
    </row>
    <row r="152" spans="1:88" s="117" customFormat="1" x14ac:dyDescent="0.25">
      <c r="A152" s="240"/>
      <c r="B152" s="240"/>
      <c r="C152" s="249" t="s">
        <v>1328</v>
      </c>
      <c r="D152" s="250"/>
      <c r="E152" s="250"/>
      <c r="F152" s="250"/>
      <c r="G152" s="250"/>
      <c r="H152" s="251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1"/>
      <c r="AS152" s="159"/>
      <c r="AT152" s="191"/>
      <c r="AU152" s="192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161"/>
      <c r="BG152" s="161"/>
      <c r="BH152" s="161"/>
      <c r="BI152" s="240"/>
      <c r="BJ152" s="161"/>
      <c r="BK152" s="161"/>
      <c r="BL152" s="161"/>
      <c r="BM152" s="161"/>
      <c r="BN152" s="240"/>
      <c r="BO152" s="161"/>
      <c r="BP152" s="161"/>
      <c r="BQ152" s="161"/>
      <c r="BR152" s="240"/>
      <c r="BS152" s="240"/>
      <c r="BT152" s="240"/>
      <c r="BU152" s="240"/>
      <c r="BV152" s="240"/>
      <c r="BW152" s="240"/>
      <c r="BX152" s="240"/>
      <c r="BY152" s="251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</row>
    <row r="153" spans="1:88" s="237" customFormat="1" ht="15" customHeight="1" x14ac:dyDescent="0.25">
      <c r="A153" s="187">
        <v>42051</v>
      </c>
      <c r="B153" s="187"/>
      <c r="C153" s="161" t="s">
        <v>1329</v>
      </c>
      <c r="D153" s="229" t="s">
        <v>60</v>
      </c>
      <c r="E153" s="229" t="s">
        <v>1211</v>
      </c>
      <c r="F153" s="239" t="s">
        <v>1330</v>
      </c>
      <c r="G153" s="243" t="s">
        <v>1331</v>
      </c>
      <c r="H153" s="32" t="s">
        <v>1332</v>
      </c>
      <c r="I153" s="243"/>
      <c r="J153" s="32"/>
      <c r="K153" s="27"/>
      <c r="L153" s="28"/>
      <c r="M153" s="28"/>
      <c r="N153" s="28"/>
      <c r="O153" s="230"/>
      <c r="P153" s="230"/>
      <c r="Q153" s="230"/>
      <c r="R153" s="230"/>
      <c r="S153" s="230"/>
      <c r="T153" s="230"/>
      <c r="U153" s="27"/>
      <c r="V153" s="34"/>
      <c r="W153" s="27"/>
      <c r="X153" s="34"/>
      <c r="Y153" s="161"/>
      <c r="Z153" s="34"/>
      <c r="AA153" s="27" t="s">
        <v>1333</v>
      </c>
      <c r="AB153" s="27"/>
      <c r="AC153" s="32"/>
      <c r="AD153" s="32"/>
      <c r="AE153" s="32"/>
      <c r="AF153" s="32"/>
      <c r="AG153" s="32"/>
      <c r="AH153" s="32"/>
      <c r="AI153" s="32"/>
      <c r="AJ153" s="32"/>
      <c r="AK153" s="241"/>
      <c r="AL153" s="32"/>
      <c r="AM153" s="32"/>
      <c r="AN153" s="32"/>
      <c r="AO153" s="32"/>
      <c r="AP153" s="32"/>
      <c r="AQ153" s="27">
        <v>49227</v>
      </c>
      <c r="AR153" s="103">
        <v>11.79</v>
      </c>
      <c r="AS153" s="159"/>
      <c r="AT153" s="191"/>
      <c r="AU153" s="192"/>
      <c r="AV153" s="27"/>
      <c r="AW153" s="27"/>
      <c r="AX153" s="232" t="s">
        <v>1334</v>
      </c>
      <c r="AY153" s="233">
        <v>10038568740400</v>
      </c>
      <c r="AZ153" s="108">
        <v>6.67</v>
      </c>
      <c r="BA153" s="108">
        <v>6.67</v>
      </c>
      <c r="BB153" s="108">
        <v>3.19</v>
      </c>
      <c r="BC153" s="151"/>
      <c r="BD153" s="151"/>
      <c r="BE153" s="151"/>
      <c r="BF153" s="456" t="s">
        <v>989</v>
      </c>
      <c r="BG153" s="456"/>
      <c r="BH153" s="456"/>
      <c r="BI153" s="456"/>
      <c r="BJ153" s="456"/>
      <c r="BK153" s="235">
        <f>8.75+(0.125*2)</f>
        <v>9</v>
      </c>
      <c r="BL153" s="235">
        <f>8.75+(0.125*2)</f>
        <v>9</v>
      </c>
      <c r="BM153" s="235">
        <f>4+(0.125*4)</f>
        <v>4.5</v>
      </c>
      <c r="BN153" s="157">
        <f t="shared" ref="BN153:BN174" si="48">(BM153*BL153*BK153)/1728</f>
        <v>0.2109375</v>
      </c>
      <c r="BO153" s="153">
        <f>1.5+0.25</f>
        <v>1.75</v>
      </c>
      <c r="BP153" s="360"/>
      <c r="BQ153" s="360"/>
      <c r="BR153" s="228" t="s">
        <v>797</v>
      </c>
      <c r="BS153" s="228">
        <v>1</v>
      </c>
      <c r="BT153" s="228">
        <v>20</v>
      </c>
      <c r="BU153" s="228">
        <v>9</v>
      </c>
      <c r="BV153" s="29">
        <f t="shared" ref="BV153:BV174" si="49">BS153*BT153*BU153</f>
        <v>180</v>
      </c>
      <c r="BW153" s="29">
        <f t="shared" ref="BW153:BW167" si="50">(BO153*BT153*BU153)+50</f>
        <v>365</v>
      </c>
      <c r="BX153" s="228" t="s">
        <v>1335</v>
      </c>
      <c r="BY153" s="29" t="s">
        <v>735</v>
      </c>
      <c r="BZ153" s="236"/>
      <c r="CA153" s="236"/>
      <c r="CB153" s="236"/>
      <c r="CC153" s="1"/>
      <c r="CD153" s="1"/>
      <c r="CE153" s="1"/>
      <c r="CF153" s="1"/>
      <c r="CG153" s="1"/>
      <c r="CH153" s="1"/>
      <c r="CI153" s="1"/>
      <c r="CJ153" s="1"/>
    </row>
    <row r="154" spans="1:88" s="237" customFormat="1" x14ac:dyDescent="0.25">
      <c r="A154" s="187">
        <v>42051</v>
      </c>
      <c r="B154" s="187"/>
      <c r="C154" s="161" t="s">
        <v>1336</v>
      </c>
      <c r="D154" s="229" t="s">
        <v>60</v>
      </c>
      <c r="E154" s="229" t="s">
        <v>1337</v>
      </c>
      <c r="F154" s="239" t="s">
        <v>1338</v>
      </c>
      <c r="G154" s="243" t="s">
        <v>1339</v>
      </c>
      <c r="H154" s="32" t="s">
        <v>1340</v>
      </c>
      <c r="I154" s="243"/>
      <c r="J154" s="32"/>
      <c r="K154" s="27"/>
      <c r="L154" s="28"/>
      <c r="M154" s="28"/>
      <c r="N154" s="28"/>
      <c r="O154" s="230"/>
      <c r="P154" s="230"/>
      <c r="Q154" s="230"/>
      <c r="R154" s="230"/>
      <c r="S154" s="230"/>
      <c r="T154" s="230"/>
      <c r="U154" s="27" t="s">
        <v>1341</v>
      </c>
      <c r="V154" s="34"/>
      <c r="W154" s="27"/>
      <c r="X154" s="34"/>
      <c r="Y154" s="161"/>
      <c r="Z154" s="34"/>
      <c r="AA154" s="27"/>
      <c r="AB154" s="27"/>
      <c r="AC154" s="32"/>
      <c r="AD154" s="32"/>
      <c r="AE154" s="32"/>
      <c r="AF154" s="32"/>
      <c r="AG154" s="32"/>
      <c r="AH154" s="32"/>
      <c r="AI154" s="32"/>
      <c r="AJ154" s="32"/>
      <c r="AK154" s="241"/>
      <c r="AL154" s="32"/>
      <c r="AM154" s="32"/>
      <c r="AN154" s="32"/>
      <c r="AO154" s="32"/>
      <c r="AP154" s="32"/>
      <c r="AQ154" s="27"/>
      <c r="AR154" s="103">
        <v>33.01</v>
      </c>
      <c r="AS154" s="27"/>
      <c r="AT154" s="27"/>
      <c r="AU154" s="27"/>
      <c r="AV154" s="27"/>
      <c r="AW154" s="27"/>
      <c r="AX154" s="232" t="s">
        <v>1342</v>
      </c>
      <c r="AY154" s="233">
        <v>10038568741544</v>
      </c>
      <c r="AZ154" s="108">
        <v>13.54</v>
      </c>
      <c r="BA154" s="108">
        <v>9.09</v>
      </c>
      <c r="BB154" s="108">
        <v>0.71</v>
      </c>
      <c r="BC154" s="151"/>
      <c r="BD154" s="151"/>
      <c r="BE154" s="151"/>
      <c r="BF154" s="153">
        <v>14.5</v>
      </c>
      <c r="BG154" s="153">
        <v>11</v>
      </c>
      <c r="BH154" s="153">
        <v>3.62</v>
      </c>
      <c r="BI154" s="157">
        <f t="shared" ref="BI154:BI160" si="51">(BH154*BG154*BF154)/1728</f>
        <v>0.33413773148148146</v>
      </c>
      <c r="BJ154" s="153">
        <f>0.4</f>
        <v>0.4</v>
      </c>
      <c r="BK154" s="235">
        <f>14.5+(0.125*2)</f>
        <v>14.75</v>
      </c>
      <c r="BL154" s="235">
        <f>11+(0.125*2)</f>
        <v>11.25</v>
      </c>
      <c r="BM154" s="235">
        <f>3.62+(0.125*4)</f>
        <v>4.12</v>
      </c>
      <c r="BN154" s="157">
        <f t="shared" si="48"/>
        <v>0.39563802083333333</v>
      </c>
      <c r="BO154" s="153">
        <f>(BJ154*3)+0.25</f>
        <v>1.4500000000000002</v>
      </c>
      <c r="BP154" s="360"/>
      <c r="BQ154" s="360"/>
      <c r="BR154" s="228" t="s">
        <v>797</v>
      </c>
      <c r="BS154" s="228">
        <v>3</v>
      </c>
      <c r="BT154" s="228">
        <v>10</v>
      </c>
      <c r="BU154" s="228">
        <v>10</v>
      </c>
      <c r="BV154" s="29">
        <f t="shared" si="49"/>
        <v>300</v>
      </c>
      <c r="BW154" s="29">
        <f t="shared" si="50"/>
        <v>195.00000000000003</v>
      </c>
      <c r="BX154" s="228" t="s">
        <v>743</v>
      </c>
      <c r="BY154" s="29" t="s">
        <v>735</v>
      </c>
      <c r="BZ154" s="236"/>
      <c r="CA154" s="236"/>
      <c r="CB154" s="236"/>
      <c r="CC154" s="1"/>
      <c r="CD154" s="1"/>
      <c r="CE154" s="1"/>
      <c r="CF154" s="1"/>
      <c r="CG154" s="1"/>
      <c r="CH154" s="1"/>
      <c r="CI154" s="1"/>
      <c r="CJ154" s="1"/>
    </row>
    <row r="155" spans="1:88" s="237" customFormat="1" x14ac:dyDescent="0.25">
      <c r="A155" s="187">
        <v>42051</v>
      </c>
      <c r="B155" s="187"/>
      <c r="C155" s="161" t="s">
        <v>1343</v>
      </c>
      <c r="D155" s="229" t="s">
        <v>1210</v>
      </c>
      <c r="E155" s="229" t="s">
        <v>1211</v>
      </c>
      <c r="F155" s="239" t="s">
        <v>1344</v>
      </c>
      <c r="G155" s="243" t="s">
        <v>748</v>
      </c>
      <c r="H155" s="32">
        <v>96950990</v>
      </c>
      <c r="I155" s="243"/>
      <c r="J155" s="32"/>
      <c r="K155" s="27"/>
      <c r="L155" s="28"/>
      <c r="M155" s="28"/>
      <c r="N155" s="28"/>
      <c r="O155" s="230"/>
      <c r="P155" s="230"/>
      <c r="Q155" s="230"/>
      <c r="R155" s="230"/>
      <c r="S155" s="230"/>
      <c r="T155" s="230"/>
      <c r="U155" s="27"/>
      <c r="V155" s="34"/>
      <c r="W155" s="27"/>
      <c r="X155" s="34"/>
      <c r="Y155" s="161"/>
      <c r="Z155" s="34"/>
      <c r="AA155" s="27"/>
      <c r="AB155" s="27" t="s">
        <v>1345</v>
      </c>
      <c r="AC155" s="166"/>
      <c r="AD155" s="32"/>
      <c r="AE155" s="32" t="s">
        <v>1346</v>
      </c>
      <c r="AF155" s="32"/>
      <c r="AG155" s="32"/>
      <c r="AH155" s="32"/>
      <c r="AI155" s="32" t="s">
        <v>1343</v>
      </c>
      <c r="AJ155" s="32"/>
      <c r="AK155" s="241"/>
      <c r="AL155" s="161" t="s">
        <v>1347</v>
      </c>
      <c r="AM155" s="32" t="s">
        <v>1348</v>
      </c>
      <c r="AN155" s="32" t="s">
        <v>1349</v>
      </c>
      <c r="AO155" s="32"/>
      <c r="AP155" s="32" t="s">
        <v>1350</v>
      </c>
      <c r="AQ155" s="27">
        <v>49590</v>
      </c>
      <c r="AR155" s="103">
        <v>24.83</v>
      </c>
      <c r="AS155" s="27"/>
      <c r="AT155" s="27"/>
      <c r="AU155" s="27"/>
      <c r="AV155" s="27"/>
      <c r="AW155" s="27"/>
      <c r="AX155" s="232" t="s">
        <v>1351</v>
      </c>
      <c r="AY155" s="233">
        <v>10038568742343</v>
      </c>
      <c r="AZ155" s="108">
        <v>9.49</v>
      </c>
      <c r="BA155" s="108">
        <v>6.73</v>
      </c>
      <c r="BB155" s="108">
        <v>1.99</v>
      </c>
      <c r="BC155" s="151"/>
      <c r="BD155" s="151"/>
      <c r="BE155" s="151"/>
      <c r="BF155" s="153">
        <f>7.44+(0.018*2)</f>
        <v>7.476</v>
      </c>
      <c r="BG155" s="153">
        <f>2.75+(0.018*2)</f>
        <v>2.786</v>
      </c>
      <c r="BH155" s="153">
        <f>9.5+(0.018*4)</f>
        <v>9.5719999999999992</v>
      </c>
      <c r="BI155" s="157">
        <f t="shared" si="51"/>
        <v>0.11537437372222221</v>
      </c>
      <c r="BJ155" s="153">
        <f>0.403+0.1</f>
        <v>0.503</v>
      </c>
      <c r="BK155" s="235">
        <f>10+(0.125*2)</f>
        <v>10.25</v>
      </c>
      <c r="BL155" s="235">
        <f>7.5+(0.125*2)</f>
        <v>7.75</v>
      </c>
      <c r="BM155" s="235">
        <f>10+(0.125*4)</f>
        <v>10.5</v>
      </c>
      <c r="BN155" s="157">
        <f t="shared" si="48"/>
        <v>0.4826931423611111</v>
      </c>
      <c r="BO155" s="153">
        <f>(BJ155*3)+0.25</f>
        <v>1.7589999999999999</v>
      </c>
      <c r="BP155" s="360"/>
      <c r="BQ155" s="360"/>
      <c r="BR155" s="228" t="s">
        <v>797</v>
      </c>
      <c r="BS155" s="228">
        <v>3</v>
      </c>
      <c r="BT155" s="228">
        <v>22</v>
      </c>
      <c r="BU155" s="228">
        <v>4</v>
      </c>
      <c r="BV155" s="29">
        <f t="shared" si="49"/>
        <v>264</v>
      </c>
      <c r="BW155" s="29">
        <f t="shared" si="50"/>
        <v>204.792</v>
      </c>
      <c r="BX155" s="228" t="s">
        <v>734</v>
      </c>
      <c r="BY155" s="29" t="s">
        <v>735</v>
      </c>
      <c r="BZ155" s="236"/>
      <c r="CA155" s="236"/>
      <c r="CB155" s="236"/>
      <c r="CC155" s="1"/>
      <c r="CD155" s="1"/>
      <c r="CE155" s="1"/>
      <c r="CF155" s="1"/>
      <c r="CG155" s="1"/>
      <c r="CH155" s="1"/>
      <c r="CI155" s="1"/>
      <c r="CJ155" s="1"/>
    </row>
    <row r="156" spans="1:88" s="237" customFormat="1" ht="30" x14ac:dyDescent="0.25">
      <c r="A156" s="187">
        <v>42030</v>
      </c>
      <c r="B156" s="187"/>
      <c r="C156" s="161" t="s">
        <v>1352</v>
      </c>
      <c r="D156" s="229" t="s">
        <v>60</v>
      </c>
      <c r="E156" s="229" t="s">
        <v>1353</v>
      </c>
      <c r="F156" s="239" t="s">
        <v>1354</v>
      </c>
      <c r="G156" s="243" t="s">
        <v>1355</v>
      </c>
      <c r="H156" s="32" t="s">
        <v>1356</v>
      </c>
      <c r="I156" s="243" t="s">
        <v>1355</v>
      </c>
      <c r="J156" s="32">
        <v>1521527</v>
      </c>
      <c r="K156" s="27"/>
      <c r="L156" s="28"/>
      <c r="M156" s="28"/>
      <c r="N156" s="28"/>
      <c r="O156" s="230"/>
      <c r="P156" s="230"/>
      <c r="Q156" s="230"/>
      <c r="R156" s="230"/>
      <c r="S156" s="230"/>
      <c r="T156" s="230"/>
      <c r="U156" s="27" t="s">
        <v>1357</v>
      </c>
      <c r="V156" s="34"/>
      <c r="W156" s="27"/>
      <c r="X156" s="34"/>
      <c r="Y156" s="161" t="s">
        <v>1358</v>
      </c>
      <c r="Z156" s="34"/>
      <c r="AA156" s="27" t="s">
        <v>1359</v>
      </c>
      <c r="AB156" s="27"/>
      <c r="AC156" s="32"/>
      <c r="AD156" s="32" t="s">
        <v>1360</v>
      </c>
      <c r="AE156" s="32"/>
      <c r="AF156" s="32"/>
      <c r="AG156" s="32"/>
      <c r="AH156" s="32"/>
      <c r="AI156" s="32"/>
      <c r="AJ156" s="32"/>
      <c r="AK156" s="241"/>
      <c r="AL156" s="32"/>
      <c r="AM156" s="32"/>
      <c r="AN156" s="32"/>
      <c r="AO156" s="32"/>
      <c r="AP156" s="32"/>
      <c r="AQ156" s="27"/>
      <c r="AR156" s="103">
        <v>11.88</v>
      </c>
      <c r="AS156" s="191">
        <v>0.5</v>
      </c>
      <c r="AT156" s="33">
        <v>0.55000000000000004</v>
      </c>
      <c r="AU156" s="33">
        <v>0.4</v>
      </c>
      <c r="AV156" s="27"/>
      <c r="AW156" s="27"/>
      <c r="AX156" s="232" t="s">
        <v>1361</v>
      </c>
      <c r="AY156" s="233">
        <v>10038568737998</v>
      </c>
      <c r="AZ156" s="151"/>
      <c r="BA156" s="37"/>
      <c r="BB156" s="37"/>
      <c r="BC156" s="157">
        <v>2.52</v>
      </c>
      <c r="BD156" s="157">
        <v>5.75</v>
      </c>
      <c r="BE156" s="157">
        <v>1.06</v>
      </c>
      <c r="BF156" s="153">
        <f>3.0625+(0.018*2)</f>
        <v>3.0985</v>
      </c>
      <c r="BG156" s="153">
        <f>3.0625+(0.018*2)</f>
        <v>3.0985</v>
      </c>
      <c r="BH156" s="153">
        <f>6.75+(0.018*4)</f>
        <v>6.8220000000000001</v>
      </c>
      <c r="BI156" s="157">
        <f t="shared" si="51"/>
        <v>3.7902772424479161E-2</v>
      </c>
      <c r="BJ156" s="153">
        <f>0.16+0.1</f>
        <v>0.26</v>
      </c>
      <c r="BK156" s="235">
        <f>12.8125+(0.125*2)</f>
        <v>13.0625</v>
      </c>
      <c r="BL156" s="235">
        <f>9.625+(0.125*2)</f>
        <v>9.875</v>
      </c>
      <c r="BM156" s="235">
        <f>6.875+(0.125*4)</f>
        <v>7.375</v>
      </c>
      <c r="BN156" s="157">
        <f t="shared" si="48"/>
        <v>0.55053089283130785</v>
      </c>
      <c r="BO156" s="153">
        <f>(BJ156*12)+0.25</f>
        <v>3.37</v>
      </c>
      <c r="BP156" s="360"/>
      <c r="BQ156" s="360"/>
      <c r="BR156" s="228" t="s">
        <v>797</v>
      </c>
      <c r="BS156" s="228">
        <v>12</v>
      </c>
      <c r="BT156" s="228">
        <v>14</v>
      </c>
      <c r="BU156" s="228">
        <v>6</v>
      </c>
      <c r="BV156" s="29">
        <f t="shared" si="49"/>
        <v>1008</v>
      </c>
      <c r="BW156" s="29">
        <f t="shared" si="50"/>
        <v>333.08</v>
      </c>
      <c r="BX156" s="228" t="s">
        <v>890</v>
      </c>
      <c r="BY156" s="29" t="s">
        <v>735</v>
      </c>
      <c r="BZ156" s="236"/>
      <c r="CA156" s="236"/>
      <c r="CB156" s="236"/>
      <c r="CC156" s="1"/>
      <c r="CD156" s="1"/>
      <c r="CE156" s="1"/>
      <c r="CF156" s="1"/>
      <c r="CG156" s="1"/>
      <c r="CH156" s="1"/>
      <c r="CI156" s="1"/>
      <c r="CJ156" s="1"/>
    </row>
    <row r="157" spans="1:88" s="237" customFormat="1" x14ac:dyDescent="0.25">
      <c r="A157" s="187">
        <v>42030</v>
      </c>
      <c r="B157" s="187"/>
      <c r="C157" s="161" t="s">
        <v>1362</v>
      </c>
      <c r="D157" s="229" t="s">
        <v>60</v>
      </c>
      <c r="E157" s="229" t="s">
        <v>1211</v>
      </c>
      <c r="F157" s="239" t="s">
        <v>1363</v>
      </c>
      <c r="G157" s="243" t="s">
        <v>1364</v>
      </c>
      <c r="H157" s="32" t="s">
        <v>1365</v>
      </c>
      <c r="I157" s="243"/>
      <c r="J157" s="32"/>
      <c r="K157" s="27"/>
      <c r="L157" s="28"/>
      <c r="M157" s="28"/>
      <c r="N157" s="28"/>
      <c r="O157" s="230"/>
      <c r="P157" s="230"/>
      <c r="Q157" s="230"/>
      <c r="R157" s="230"/>
      <c r="S157" s="230"/>
      <c r="T157" s="230"/>
      <c r="U157" s="27" t="s">
        <v>1366</v>
      </c>
      <c r="V157" s="34"/>
      <c r="W157" s="27"/>
      <c r="X157" s="34"/>
      <c r="Y157" s="161"/>
      <c r="Z157" s="34"/>
      <c r="AA157" s="27" t="s">
        <v>1367</v>
      </c>
      <c r="AB157" s="27" t="s">
        <v>1368</v>
      </c>
      <c r="AC157" s="32"/>
      <c r="AD157" s="32"/>
      <c r="AE157" s="32"/>
      <c r="AF157" s="32"/>
      <c r="AG157" s="32"/>
      <c r="AH157" s="32"/>
      <c r="AI157" s="32"/>
      <c r="AJ157" s="32"/>
      <c r="AK157" s="241"/>
      <c r="AL157" s="32"/>
      <c r="AM157" s="32"/>
      <c r="AN157" s="32"/>
      <c r="AO157" s="32"/>
      <c r="AP157" s="32"/>
      <c r="AQ157" s="27" t="s">
        <v>1369</v>
      </c>
      <c r="AR157" s="103">
        <v>15.28</v>
      </c>
      <c r="AS157" s="191"/>
      <c r="AT157" s="33"/>
      <c r="AU157" s="33"/>
      <c r="AV157" s="27"/>
      <c r="AW157" s="27"/>
      <c r="AX157" s="232" t="s">
        <v>1370</v>
      </c>
      <c r="AY157" s="233">
        <v>10038568740417</v>
      </c>
      <c r="AZ157" s="108">
        <v>10.26</v>
      </c>
      <c r="BA157" s="108">
        <v>5.57</v>
      </c>
      <c r="BB157" s="108">
        <v>0.77</v>
      </c>
      <c r="BC157" s="151"/>
      <c r="BD157" s="151"/>
      <c r="BE157" s="151"/>
      <c r="BF157" s="153">
        <v>10.26</v>
      </c>
      <c r="BG157" s="153">
        <v>5.57</v>
      </c>
      <c r="BH157" s="153">
        <v>0.77</v>
      </c>
      <c r="BI157" s="157">
        <f t="shared" si="51"/>
        <v>2.5465343750000001E-2</v>
      </c>
      <c r="BJ157" s="153">
        <f>0.2+0.1</f>
        <v>0.30000000000000004</v>
      </c>
      <c r="BK157" s="235">
        <f>10.5+(0.125*2)</f>
        <v>10.75</v>
      </c>
      <c r="BL157" s="235">
        <f>7+(0.125*2)</f>
        <v>7.25</v>
      </c>
      <c r="BM157" s="235">
        <f>4.12+(0.125*4)</f>
        <v>4.62</v>
      </c>
      <c r="BN157" s="157">
        <f t="shared" si="48"/>
        <v>0.2083745659722222</v>
      </c>
      <c r="BO157" s="153">
        <f>(BJ157*3)+0.25</f>
        <v>1.1500000000000001</v>
      </c>
      <c r="BP157" s="360"/>
      <c r="BQ157" s="360"/>
      <c r="BR157" s="228" t="s">
        <v>797</v>
      </c>
      <c r="BS157" s="228">
        <v>3</v>
      </c>
      <c r="BT157" s="228">
        <v>20</v>
      </c>
      <c r="BU157" s="228">
        <v>11</v>
      </c>
      <c r="BV157" s="29">
        <f t="shared" si="49"/>
        <v>660</v>
      </c>
      <c r="BW157" s="29">
        <f t="shared" si="50"/>
        <v>303</v>
      </c>
      <c r="BX157" s="228" t="s">
        <v>743</v>
      </c>
      <c r="BY157" s="29" t="s">
        <v>735</v>
      </c>
      <c r="BZ157" s="236"/>
      <c r="CA157" s="236"/>
      <c r="CB157" s="236"/>
      <c r="CC157" s="1"/>
      <c r="CD157" s="1"/>
      <c r="CE157" s="1"/>
      <c r="CF157" s="1"/>
      <c r="CG157" s="1"/>
      <c r="CH157" s="1"/>
      <c r="CI157" s="1"/>
      <c r="CJ157" s="1"/>
    </row>
    <row r="158" spans="1:88" s="237" customFormat="1" ht="30" x14ac:dyDescent="0.25">
      <c r="A158" s="187">
        <v>42030</v>
      </c>
      <c r="B158" s="187"/>
      <c r="C158" s="161" t="s">
        <v>1371</v>
      </c>
      <c r="D158" s="229" t="s">
        <v>60</v>
      </c>
      <c r="E158" s="229"/>
      <c r="F158" s="239" t="s">
        <v>1372</v>
      </c>
      <c r="G158" s="243" t="s">
        <v>1373</v>
      </c>
      <c r="H158" s="32"/>
      <c r="I158" s="243"/>
      <c r="J158" s="32"/>
      <c r="K158" s="27"/>
      <c r="L158" s="28"/>
      <c r="M158" s="28"/>
      <c r="N158" s="28"/>
      <c r="O158" s="230"/>
      <c r="P158" s="230"/>
      <c r="Q158" s="230"/>
      <c r="R158" s="230"/>
      <c r="S158" s="230"/>
      <c r="T158" s="230"/>
      <c r="U158" s="27"/>
      <c r="V158" s="34"/>
      <c r="W158" s="27"/>
      <c r="X158" s="34"/>
      <c r="Y158" s="161"/>
      <c r="Z158" s="34"/>
      <c r="AA158" s="27"/>
      <c r="AB158" s="27"/>
      <c r="AC158" s="32"/>
      <c r="AD158" s="32"/>
      <c r="AE158" s="32"/>
      <c r="AF158" s="32"/>
      <c r="AG158" s="32"/>
      <c r="AH158" s="32"/>
      <c r="AI158" s="32"/>
      <c r="AJ158" s="32"/>
      <c r="AK158" s="241"/>
      <c r="AL158" s="32"/>
      <c r="AM158" s="32"/>
      <c r="AN158" s="32"/>
      <c r="AO158" s="32"/>
      <c r="AP158" s="32"/>
      <c r="AQ158" s="27"/>
      <c r="AR158" s="103">
        <v>193.47</v>
      </c>
      <c r="AS158" s="191">
        <v>2</v>
      </c>
      <c r="AT158" s="33">
        <v>2.35</v>
      </c>
      <c r="AU158" s="33">
        <v>1.7</v>
      </c>
      <c r="AV158" s="27"/>
      <c r="AW158" s="27"/>
      <c r="AX158" s="232" t="s">
        <v>1374</v>
      </c>
      <c r="AY158" s="233">
        <v>10038568739961</v>
      </c>
      <c r="AZ158" s="151"/>
      <c r="BA158" s="37"/>
      <c r="BB158" s="37"/>
      <c r="BC158" s="151"/>
      <c r="BD158" s="151"/>
      <c r="BE158" s="151"/>
      <c r="BF158" s="456" t="s">
        <v>989</v>
      </c>
      <c r="BG158" s="456"/>
      <c r="BH158" s="456"/>
      <c r="BI158" s="456"/>
      <c r="BJ158" s="456"/>
      <c r="BK158" s="235">
        <f>11.13+(0.125*2)</f>
        <v>11.38</v>
      </c>
      <c r="BL158" s="235">
        <f>10.25+(0.125*2)</f>
        <v>10.5</v>
      </c>
      <c r="BM158" s="235">
        <f>5.63+(0.125*4)</f>
        <v>6.13</v>
      </c>
      <c r="BN158" s="157">
        <f t="shared" si="48"/>
        <v>0.42388524305555558</v>
      </c>
      <c r="BO158" s="153">
        <f>(0.86+0.75+0.44)+0.25</f>
        <v>2.2999999999999998</v>
      </c>
      <c r="BP158" s="360"/>
      <c r="BQ158" s="360"/>
      <c r="BR158" s="228" t="s">
        <v>797</v>
      </c>
      <c r="BS158" s="228">
        <v>1</v>
      </c>
      <c r="BT158" s="228">
        <v>12</v>
      </c>
      <c r="BU158" s="228">
        <v>7</v>
      </c>
      <c r="BV158" s="29">
        <f t="shared" si="49"/>
        <v>84</v>
      </c>
      <c r="BW158" s="29">
        <f t="shared" si="50"/>
        <v>243.2</v>
      </c>
      <c r="BX158" s="238" t="s">
        <v>1375</v>
      </c>
      <c r="BY158" s="29" t="s">
        <v>735</v>
      </c>
      <c r="BZ158" s="236"/>
      <c r="CA158" s="236"/>
      <c r="CB158" s="236"/>
      <c r="CC158" s="1"/>
      <c r="CD158" s="1"/>
      <c r="CE158" s="1"/>
      <c r="CF158" s="1"/>
      <c r="CG158" s="1"/>
      <c r="CH158" s="1"/>
      <c r="CI158" s="1"/>
      <c r="CJ158" s="1"/>
    </row>
    <row r="159" spans="1:88" s="237" customFormat="1" x14ac:dyDescent="0.25">
      <c r="A159" s="187">
        <v>42030</v>
      </c>
      <c r="B159" s="187"/>
      <c r="C159" s="161" t="s">
        <v>1376</v>
      </c>
      <c r="D159" s="229" t="s">
        <v>1210</v>
      </c>
      <c r="E159" s="229" t="s">
        <v>1211</v>
      </c>
      <c r="F159" s="239" t="s">
        <v>1377</v>
      </c>
      <c r="G159" s="243" t="s">
        <v>967</v>
      </c>
      <c r="H159" s="32" t="s">
        <v>1186</v>
      </c>
      <c r="I159" s="243"/>
      <c r="J159" s="32"/>
      <c r="K159" s="27"/>
      <c r="L159" s="28"/>
      <c r="M159" s="28"/>
      <c r="N159" s="28"/>
      <c r="O159" s="230"/>
      <c r="P159" s="230"/>
      <c r="Q159" s="230"/>
      <c r="R159" s="230"/>
      <c r="S159" s="230"/>
      <c r="T159" s="230"/>
      <c r="U159" s="27" t="s">
        <v>1378</v>
      </c>
      <c r="V159" s="34"/>
      <c r="W159" s="27"/>
      <c r="X159" s="34"/>
      <c r="Y159" s="161"/>
      <c r="Z159" s="34"/>
      <c r="AA159" s="27"/>
      <c r="AB159" s="27" t="s">
        <v>1379</v>
      </c>
      <c r="AC159" s="166" t="s">
        <v>1380</v>
      </c>
      <c r="AD159" s="32"/>
      <c r="AE159" s="32"/>
      <c r="AF159" s="32"/>
      <c r="AG159" s="32"/>
      <c r="AH159" s="32"/>
      <c r="AI159" s="32"/>
      <c r="AJ159" s="32"/>
      <c r="AK159" s="241"/>
      <c r="AL159" s="161" t="s">
        <v>1381</v>
      </c>
      <c r="AM159" s="32"/>
      <c r="AN159" s="32"/>
      <c r="AO159" s="32"/>
      <c r="AP159" s="32"/>
      <c r="AQ159" s="27" t="s">
        <v>1382</v>
      </c>
      <c r="AR159" s="103">
        <v>94.06</v>
      </c>
      <c r="AS159" s="191"/>
      <c r="AT159" s="33"/>
      <c r="AU159" s="33"/>
      <c r="AV159" s="27"/>
      <c r="AW159" s="27"/>
      <c r="AX159" s="232" t="s">
        <v>1383</v>
      </c>
      <c r="AY159" s="233">
        <v>10038568742350</v>
      </c>
      <c r="AZ159" s="108">
        <v>7.6</v>
      </c>
      <c r="BA159" s="108">
        <v>7.44</v>
      </c>
      <c r="BB159" s="108">
        <v>2.2799999999999998</v>
      </c>
      <c r="BC159" s="151"/>
      <c r="BD159" s="151"/>
      <c r="BE159" s="151"/>
      <c r="BF159" s="153">
        <f>7.44+(0.018*2)</f>
        <v>7.476</v>
      </c>
      <c r="BG159" s="153">
        <f>2.75+(0.018*2)</f>
        <v>2.786</v>
      </c>
      <c r="BH159" s="153">
        <f>9.5+(0.018*4)</f>
        <v>9.5719999999999992</v>
      </c>
      <c r="BI159" s="157">
        <f t="shared" si="51"/>
        <v>0.11537437372222221</v>
      </c>
      <c r="BJ159" s="153">
        <f>0.419+0.1</f>
        <v>0.51900000000000002</v>
      </c>
      <c r="BK159" s="235">
        <f>10+(0.125*2)</f>
        <v>10.25</v>
      </c>
      <c r="BL159" s="235">
        <f>7.5+(0.125*2)</f>
        <v>7.75</v>
      </c>
      <c r="BM159" s="235">
        <f>10+(0.125*4)</f>
        <v>10.5</v>
      </c>
      <c r="BN159" s="157">
        <f t="shared" si="48"/>
        <v>0.4826931423611111</v>
      </c>
      <c r="BO159" s="153">
        <f>(BJ159*3)+0.25</f>
        <v>1.8069999999999999</v>
      </c>
      <c r="BP159" s="360"/>
      <c r="BQ159" s="360"/>
      <c r="BR159" s="228" t="s">
        <v>797</v>
      </c>
      <c r="BS159" s="228">
        <v>3</v>
      </c>
      <c r="BT159" s="228">
        <v>22</v>
      </c>
      <c r="BU159" s="228">
        <v>4</v>
      </c>
      <c r="BV159" s="29">
        <f t="shared" si="49"/>
        <v>264</v>
      </c>
      <c r="BW159" s="29">
        <f t="shared" si="50"/>
        <v>209.01599999999999</v>
      </c>
      <c r="BX159" s="228" t="s">
        <v>734</v>
      </c>
      <c r="BY159" s="29" t="s">
        <v>735</v>
      </c>
      <c r="BZ159" s="236"/>
      <c r="CA159" s="236"/>
      <c r="CB159" s="236"/>
      <c r="CC159" s="1"/>
      <c r="CD159" s="1"/>
      <c r="CE159" s="1"/>
      <c r="CF159" s="1"/>
      <c r="CG159" s="1"/>
      <c r="CH159" s="1"/>
      <c r="CI159" s="1"/>
      <c r="CJ159" s="1"/>
    </row>
    <row r="160" spans="1:88" s="237" customFormat="1" x14ac:dyDescent="0.25">
      <c r="A160" s="187">
        <v>42030</v>
      </c>
      <c r="B160" s="187"/>
      <c r="C160" s="228" t="s">
        <v>1384</v>
      </c>
      <c r="D160" s="229" t="s">
        <v>1210</v>
      </c>
      <c r="E160" s="229" t="s">
        <v>1211</v>
      </c>
      <c r="F160" s="239" t="s">
        <v>1385</v>
      </c>
      <c r="G160" s="243" t="s">
        <v>722</v>
      </c>
      <c r="H160" s="32" t="s">
        <v>1386</v>
      </c>
      <c r="I160" s="243" t="s">
        <v>49</v>
      </c>
      <c r="J160" s="32" t="s">
        <v>1387</v>
      </c>
      <c r="K160" s="27"/>
      <c r="L160" s="28"/>
      <c r="M160" s="28"/>
      <c r="N160" s="28"/>
      <c r="O160" s="230"/>
      <c r="P160" s="230"/>
      <c r="Q160" s="230"/>
      <c r="R160" s="230"/>
      <c r="S160" s="230"/>
      <c r="T160" s="230"/>
      <c r="U160" s="27" t="s">
        <v>1388</v>
      </c>
      <c r="V160" s="34"/>
      <c r="W160" s="27"/>
      <c r="X160" s="34"/>
      <c r="Y160" s="161"/>
      <c r="Z160" s="34"/>
      <c r="AA160" s="27"/>
      <c r="AB160" s="27" t="s">
        <v>1389</v>
      </c>
      <c r="AC160" s="166" t="s">
        <v>1390</v>
      </c>
      <c r="AD160" s="32"/>
      <c r="AE160" s="32"/>
      <c r="AF160" s="32"/>
      <c r="AG160" s="32"/>
      <c r="AH160" s="32"/>
      <c r="AI160" s="32"/>
      <c r="AJ160" s="32"/>
      <c r="AK160" s="241"/>
      <c r="AL160" s="161" t="s">
        <v>1391</v>
      </c>
      <c r="AM160" s="32"/>
      <c r="AN160" s="32"/>
      <c r="AO160" s="32"/>
      <c r="AP160" s="32"/>
      <c r="AQ160" s="27"/>
      <c r="AR160" s="103">
        <v>47.77</v>
      </c>
      <c r="AS160" s="191"/>
      <c r="AT160" s="33"/>
      <c r="AU160" s="33"/>
      <c r="AV160" s="27"/>
      <c r="AW160" s="27"/>
      <c r="AX160" s="232" t="s">
        <v>1392</v>
      </c>
      <c r="AY160" s="233">
        <v>10038568742367</v>
      </c>
      <c r="AZ160" s="108">
        <v>8.0299999999999994</v>
      </c>
      <c r="BA160" s="108">
        <v>6.02</v>
      </c>
      <c r="BB160" s="108">
        <v>2.2200000000000002</v>
      </c>
      <c r="BC160" s="151"/>
      <c r="BD160" s="151"/>
      <c r="BE160" s="151"/>
      <c r="BF160" s="153">
        <f>9.75+(0.018*2)</f>
        <v>9.7859999999999996</v>
      </c>
      <c r="BG160" s="153">
        <f>2.31+(0.018*2)</f>
        <v>2.3460000000000001</v>
      </c>
      <c r="BH160" s="153">
        <f>9.75+(0.018*4)</f>
        <v>9.8219999999999992</v>
      </c>
      <c r="BI160" s="157">
        <f t="shared" si="51"/>
        <v>0.13049365962499998</v>
      </c>
      <c r="BJ160" s="153">
        <f>0.375+0.1</f>
        <v>0.47499999999999998</v>
      </c>
      <c r="BK160" s="235">
        <f>10+(0.125*2)</f>
        <v>10.25</v>
      </c>
      <c r="BL160" s="235">
        <f>7.5+(0.125*2)</f>
        <v>7.75</v>
      </c>
      <c r="BM160" s="235">
        <f>10+(0.125*4)</f>
        <v>10.5</v>
      </c>
      <c r="BN160" s="157">
        <f t="shared" si="48"/>
        <v>0.4826931423611111</v>
      </c>
      <c r="BO160" s="153">
        <f t="shared" ref="BO160" si="52">(BJ160*3)+0.25</f>
        <v>1.6749999999999998</v>
      </c>
      <c r="BP160" s="360"/>
      <c r="BQ160" s="360"/>
      <c r="BR160" s="228" t="s">
        <v>797</v>
      </c>
      <c r="BS160" s="228">
        <v>3</v>
      </c>
      <c r="BT160" s="228">
        <v>22</v>
      </c>
      <c r="BU160" s="228">
        <v>4</v>
      </c>
      <c r="BV160" s="29">
        <f t="shared" si="49"/>
        <v>264</v>
      </c>
      <c r="BW160" s="29">
        <f t="shared" si="50"/>
        <v>197.39999999999998</v>
      </c>
      <c r="BX160" s="228" t="s">
        <v>734</v>
      </c>
      <c r="BY160" s="29" t="s">
        <v>735</v>
      </c>
      <c r="BZ160" s="236"/>
      <c r="CA160" s="236"/>
      <c r="CB160" s="236"/>
      <c r="CC160" s="1"/>
      <c r="CD160" s="1"/>
      <c r="CE160" s="1"/>
      <c r="CF160" s="1"/>
      <c r="CG160" s="1"/>
      <c r="CH160" s="1"/>
      <c r="CI160" s="1"/>
      <c r="CJ160" s="1"/>
    </row>
    <row r="161" spans="1:88" s="117" customFormat="1" ht="30" x14ac:dyDescent="0.25">
      <c r="A161" s="187">
        <v>42013</v>
      </c>
      <c r="B161" s="187"/>
      <c r="C161" s="229" t="s">
        <v>1393</v>
      </c>
      <c r="D161" s="238" t="s">
        <v>60</v>
      </c>
      <c r="E161" s="229" t="s">
        <v>1239</v>
      </c>
      <c r="F161" s="252" t="s">
        <v>1394</v>
      </c>
      <c r="G161" s="243" t="s">
        <v>984</v>
      </c>
      <c r="H161" s="32" t="s">
        <v>1395</v>
      </c>
      <c r="I161" s="243" t="s">
        <v>984</v>
      </c>
      <c r="J161" s="32" t="s">
        <v>1396</v>
      </c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7" t="s">
        <v>1397</v>
      </c>
      <c r="V161" s="34"/>
      <c r="W161" s="27"/>
      <c r="X161" s="34"/>
      <c r="Y161" s="161"/>
      <c r="Z161" s="34"/>
      <c r="AA161" s="27" t="s">
        <v>1398</v>
      </c>
      <c r="AB161" s="27"/>
      <c r="AC161" s="32"/>
      <c r="AD161" s="32"/>
      <c r="AE161" s="32"/>
      <c r="AF161" s="32"/>
      <c r="AG161" s="32"/>
      <c r="AH161" s="32"/>
      <c r="AI161" s="32"/>
      <c r="AJ161" s="32"/>
      <c r="AK161" s="241"/>
      <c r="AL161" s="32"/>
      <c r="AM161" s="32"/>
      <c r="AN161" s="32"/>
      <c r="AO161" s="32"/>
      <c r="AP161" s="32"/>
      <c r="AQ161" s="27" t="s">
        <v>1399</v>
      </c>
      <c r="AR161" s="103">
        <v>40.51</v>
      </c>
      <c r="AS161" s="191">
        <v>1</v>
      </c>
      <c r="AT161" s="33">
        <v>1.25</v>
      </c>
      <c r="AU161" s="33">
        <v>0.9</v>
      </c>
      <c r="AV161" s="27"/>
      <c r="AW161" s="27"/>
      <c r="AX161" s="232" t="s">
        <v>1400</v>
      </c>
      <c r="AY161" s="233">
        <v>10038568740295</v>
      </c>
      <c r="AZ161" s="37"/>
      <c r="BA161" s="37"/>
      <c r="BB161" s="37"/>
      <c r="BC161" s="157">
        <v>6.3</v>
      </c>
      <c r="BD161" s="157">
        <v>7.36</v>
      </c>
      <c r="BE161" s="151"/>
      <c r="BF161" s="456" t="s">
        <v>989</v>
      </c>
      <c r="BG161" s="456"/>
      <c r="BH161" s="456"/>
      <c r="BI161" s="456"/>
      <c r="BJ161" s="456"/>
      <c r="BK161" s="153">
        <f>14.75+(0.153*2)</f>
        <v>15.055999999999999</v>
      </c>
      <c r="BL161" s="153">
        <f>9.75+(0.153*2)</f>
        <v>10.055999999999999</v>
      </c>
      <c r="BM161" s="153">
        <f>14.13+(0.153*4)</f>
        <v>14.742000000000001</v>
      </c>
      <c r="BN161" s="157">
        <f t="shared" si="48"/>
        <v>1.2916580039999999</v>
      </c>
      <c r="BO161" s="153">
        <f>(2.5*6)+0.25</f>
        <v>15.25</v>
      </c>
      <c r="BP161" s="360"/>
      <c r="BQ161" s="360"/>
      <c r="BR161" s="116" t="s">
        <v>797</v>
      </c>
      <c r="BS161" s="29">
        <v>6</v>
      </c>
      <c r="BT161" s="29">
        <v>12</v>
      </c>
      <c r="BU161" s="29">
        <v>3</v>
      </c>
      <c r="BV161" s="29">
        <f t="shared" si="49"/>
        <v>216</v>
      </c>
      <c r="BW161" s="29">
        <f t="shared" si="50"/>
        <v>599</v>
      </c>
      <c r="BX161" s="29" t="s">
        <v>890</v>
      </c>
      <c r="BY161" s="29" t="s">
        <v>735</v>
      </c>
      <c r="BZ161" s="254"/>
      <c r="CA161" s="254"/>
      <c r="CB161" s="254"/>
      <c r="CC161" s="15"/>
      <c r="CD161" s="15"/>
      <c r="CE161" s="15"/>
      <c r="CF161" s="15"/>
      <c r="CG161" s="15"/>
      <c r="CH161" s="15"/>
      <c r="CI161" s="15"/>
      <c r="CJ161" s="15"/>
    </row>
    <row r="162" spans="1:88" s="117" customFormat="1" ht="30" x14ac:dyDescent="0.25">
      <c r="A162" s="187">
        <v>42013</v>
      </c>
      <c r="B162" s="187"/>
      <c r="C162" s="229" t="s">
        <v>1401</v>
      </c>
      <c r="D162" s="238" t="s">
        <v>60</v>
      </c>
      <c r="E162" s="229" t="s">
        <v>1211</v>
      </c>
      <c r="F162" s="239" t="s">
        <v>1402</v>
      </c>
      <c r="G162" s="32" t="s">
        <v>984</v>
      </c>
      <c r="H162" s="243" t="s">
        <v>1403</v>
      </c>
      <c r="I162" s="32"/>
      <c r="J162" s="32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7" t="s">
        <v>1404</v>
      </c>
      <c r="V162" s="34"/>
      <c r="W162" s="27"/>
      <c r="X162" s="34"/>
      <c r="Y162" s="27" t="s">
        <v>1405</v>
      </c>
      <c r="Z162" s="34"/>
      <c r="AA162" s="27" t="s">
        <v>1406</v>
      </c>
      <c r="AB162" s="27" t="s">
        <v>1407</v>
      </c>
      <c r="AC162" s="32"/>
      <c r="AD162" s="32"/>
      <c r="AE162" s="32"/>
      <c r="AF162" s="32"/>
      <c r="AG162" s="32"/>
      <c r="AH162" s="32"/>
      <c r="AI162" s="32"/>
      <c r="AJ162" s="32"/>
      <c r="AK162" s="241"/>
      <c r="AL162" s="32"/>
      <c r="AM162" s="32"/>
      <c r="AN162" s="32"/>
      <c r="AO162" s="32"/>
      <c r="AP162" s="32"/>
      <c r="AQ162" s="27" t="s">
        <v>1408</v>
      </c>
      <c r="AR162" s="103">
        <v>85.41</v>
      </c>
      <c r="AS162" s="191"/>
      <c r="AT162" s="33"/>
      <c r="AU162" s="33"/>
      <c r="AV162" s="27"/>
      <c r="AW162" s="27"/>
      <c r="AX162" s="232" t="s">
        <v>1409</v>
      </c>
      <c r="AY162" s="233">
        <v>10038568736526</v>
      </c>
      <c r="AZ162" s="108">
        <v>12.2</v>
      </c>
      <c r="BA162" s="108">
        <v>4.87</v>
      </c>
      <c r="BB162" s="108">
        <v>7.2</v>
      </c>
      <c r="BC162" s="151"/>
      <c r="BD162" s="151"/>
      <c r="BE162" s="151"/>
      <c r="BF162" s="456" t="s">
        <v>989</v>
      </c>
      <c r="BG162" s="456"/>
      <c r="BH162" s="456"/>
      <c r="BI162" s="456"/>
      <c r="BJ162" s="456"/>
      <c r="BK162" s="153">
        <f>13.25+(0.153*2)</f>
        <v>13.555999999999999</v>
      </c>
      <c r="BL162" s="153">
        <f>6+(0.153*2)</f>
        <v>6.306</v>
      </c>
      <c r="BM162" s="153">
        <f>7.5+(0.153*4)</f>
        <v>8.1120000000000001</v>
      </c>
      <c r="BN162" s="157">
        <f t="shared" si="48"/>
        <v>0.40130052733333332</v>
      </c>
      <c r="BO162" s="153">
        <f>2.5+0.25</f>
        <v>2.75</v>
      </c>
      <c r="BP162" s="360"/>
      <c r="BQ162" s="360"/>
      <c r="BR162" s="228" t="s">
        <v>797</v>
      </c>
      <c r="BS162" s="228">
        <v>1</v>
      </c>
      <c r="BT162" s="228">
        <v>21</v>
      </c>
      <c r="BU162" s="228">
        <v>5</v>
      </c>
      <c r="BV162" s="29">
        <f t="shared" si="49"/>
        <v>105</v>
      </c>
      <c r="BW162" s="29">
        <f t="shared" si="50"/>
        <v>338.75</v>
      </c>
      <c r="BX162" s="29" t="s">
        <v>890</v>
      </c>
      <c r="BY162" s="29" t="s">
        <v>735</v>
      </c>
      <c r="BZ162" s="254"/>
      <c r="CA162" s="254"/>
      <c r="CB162" s="254"/>
      <c r="CC162" s="15"/>
      <c r="CD162" s="15"/>
      <c r="CE162" s="15"/>
      <c r="CF162" s="15"/>
      <c r="CG162" s="15"/>
      <c r="CH162" s="15"/>
      <c r="CI162" s="15"/>
      <c r="CJ162" s="15"/>
    </row>
    <row r="163" spans="1:88" s="117" customFormat="1" ht="30" x14ac:dyDescent="0.25">
      <c r="A163" s="187">
        <v>42013</v>
      </c>
      <c r="B163" s="187"/>
      <c r="C163" s="228" t="s">
        <v>1410</v>
      </c>
      <c r="D163" s="238" t="s">
        <v>60</v>
      </c>
      <c r="E163" s="229" t="s">
        <v>1211</v>
      </c>
      <c r="F163" s="239" t="s">
        <v>1411</v>
      </c>
      <c r="G163" s="32" t="s">
        <v>1412</v>
      </c>
      <c r="H163" s="243"/>
      <c r="I163" s="32"/>
      <c r="J163" s="32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7" t="s">
        <v>1413</v>
      </c>
      <c r="V163" s="34"/>
      <c r="W163" s="27"/>
      <c r="X163" s="34"/>
      <c r="Y163" s="228" t="s">
        <v>1414</v>
      </c>
      <c r="Z163" s="34"/>
      <c r="AA163" s="228"/>
      <c r="AB163" s="27"/>
      <c r="AC163" s="32"/>
      <c r="AD163" s="32"/>
      <c r="AE163" s="32"/>
      <c r="AF163" s="32"/>
      <c r="AG163" s="32"/>
      <c r="AH163" s="32"/>
      <c r="AI163" s="32"/>
      <c r="AJ163" s="32"/>
      <c r="AK163" s="241"/>
      <c r="AL163" s="32"/>
      <c r="AM163" s="32"/>
      <c r="AN163" s="32"/>
      <c r="AO163" s="32"/>
      <c r="AP163" s="32"/>
      <c r="AQ163" s="228"/>
      <c r="AR163" s="103">
        <v>91.31</v>
      </c>
      <c r="AS163" s="191"/>
      <c r="AT163" s="33"/>
      <c r="AU163" s="33"/>
      <c r="AV163" s="228"/>
      <c r="AW163" s="228"/>
      <c r="AX163" s="232" t="s">
        <v>1415</v>
      </c>
      <c r="AY163" s="233">
        <v>10038568738445</v>
      </c>
      <c r="AZ163" s="151"/>
      <c r="BA163" s="108">
        <v>12.85</v>
      </c>
      <c r="BB163" s="108">
        <v>8</v>
      </c>
      <c r="BC163" s="151"/>
      <c r="BD163" s="151"/>
      <c r="BE163" s="151"/>
      <c r="BF163" s="456" t="s">
        <v>989</v>
      </c>
      <c r="BG163" s="456"/>
      <c r="BH163" s="456"/>
      <c r="BI163" s="456"/>
      <c r="BJ163" s="456"/>
      <c r="BK163" s="235">
        <f>13.25+(0.153*2)</f>
        <v>13.555999999999999</v>
      </c>
      <c r="BL163" s="235">
        <f>13.25+(0.153*2)</f>
        <v>13.555999999999999</v>
      </c>
      <c r="BM163" s="235">
        <f>8.75+(0.153*4)</f>
        <v>9.3620000000000001</v>
      </c>
      <c r="BN163" s="157">
        <f t="shared" si="48"/>
        <v>0.99560717779629615</v>
      </c>
      <c r="BO163" s="153">
        <f>2.8+0.25</f>
        <v>3.05</v>
      </c>
      <c r="BP163" s="360"/>
      <c r="BQ163" s="360"/>
      <c r="BR163" s="228" t="s">
        <v>797</v>
      </c>
      <c r="BS163" s="228">
        <v>1</v>
      </c>
      <c r="BT163" s="228">
        <v>9</v>
      </c>
      <c r="BU163" s="228">
        <v>5</v>
      </c>
      <c r="BV163" s="29">
        <f t="shared" si="49"/>
        <v>45</v>
      </c>
      <c r="BW163" s="29">
        <f t="shared" si="50"/>
        <v>187.25</v>
      </c>
      <c r="BX163" s="228" t="s">
        <v>890</v>
      </c>
      <c r="BY163" s="29" t="s">
        <v>735</v>
      </c>
      <c r="BZ163" s="254"/>
      <c r="CA163" s="254"/>
      <c r="CB163" s="254"/>
      <c r="CC163" s="15"/>
      <c r="CD163" s="15"/>
      <c r="CE163" s="15"/>
      <c r="CF163" s="15"/>
      <c r="CG163" s="15"/>
      <c r="CH163" s="15"/>
      <c r="CI163" s="15"/>
      <c r="CJ163" s="15"/>
    </row>
    <row r="164" spans="1:88" s="117" customFormat="1" ht="30" x14ac:dyDescent="0.25">
      <c r="A164" s="187">
        <v>42013</v>
      </c>
      <c r="B164" s="187"/>
      <c r="C164" s="228" t="s">
        <v>1416</v>
      </c>
      <c r="D164" s="238" t="s">
        <v>60</v>
      </c>
      <c r="E164" s="229" t="s">
        <v>1211</v>
      </c>
      <c r="F164" s="239" t="s">
        <v>1417</v>
      </c>
      <c r="G164" s="32" t="s">
        <v>984</v>
      </c>
      <c r="H164" s="32" t="s">
        <v>1418</v>
      </c>
      <c r="I164" s="32"/>
      <c r="J164" s="32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7" t="s">
        <v>1419</v>
      </c>
      <c r="V164" s="34"/>
      <c r="W164" s="27"/>
      <c r="X164" s="34"/>
      <c r="Y164" s="27" t="s">
        <v>1420</v>
      </c>
      <c r="Z164" s="34"/>
      <c r="AA164" s="27" t="s">
        <v>1421</v>
      </c>
      <c r="AB164" s="27"/>
      <c r="AC164" s="32"/>
      <c r="AD164" s="32"/>
      <c r="AE164" s="32"/>
      <c r="AF164" s="32"/>
      <c r="AG164" s="32"/>
      <c r="AH164" s="32"/>
      <c r="AI164" s="32"/>
      <c r="AJ164" s="32"/>
      <c r="AK164" s="241"/>
      <c r="AL164" s="32"/>
      <c r="AM164" s="32"/>
      <c r="AN164" s="32"/>
      <c r="AO164" s="32"/>
      <c r="AP164" s="32"/>
      <c r="AQ164" s="27" t="s">
        <v>1422</v>
      </c>
      <c r="AR164" s="103">
        <v>94.06</v>
      </c>
      <c r="AS164" s="191"/>
      <c r="AT164" s="33"/>
      <c r="AU164" s="33"/>
      <c r="AV164" s="27"/>
      <c r="AW164" s="27"/>
      <c r="AX164" s="232" t="s">
        <v>1423</v>
      </c>
      <c r="AY164" s="233">
        <v>10038568738414</v>
      </c>
      <c r="AZ164" s="108">
        <v>12.87</v>
      </c>
      <c r="BA164" s="108">
        <v>4.87</v>
      </c>
      <c r="BB164" s="108">
        <v>11.14</v>
      </c>
      <c r="BC164" s="151"/>
      <c r="BD164" s="151"/>
      <c r="BE164" s="151"/>
      <c r="BF164" s="456" t="s">
        <v>989</v>
      </c>
      <c r="BG164" s="456"/>
      <c r="BH164" s="456"/>
      <c r="BI164" s="456"/>
      <c r="BJ164" s="456"/>
      <c r="BK164" s="235">
        <f>13.25+(0.153*2)</f>
        <v>13.555999999999999</v>
      </c>
      <c r="BL164" s="235">
        <f>6+(0.153*2)</f>
        <v>6.306</v>
      </c>
      <c r="BM164" s="235">
        <f>11.25+(0.153*4)</f>
        <v>11.862</v>
      </c>
      <c r="BN164" s="157">
        <f t="shared" si="48"/>
        <v>0.58681297524999998</v>
      </c>
      <c r="BO164" s="153">
        <f>2.5+0.25</f>
        <v>2.75</v>
      </c>
      <c r="BP164" s="360"/>
      <c r="BQ164" s="360"/>
      <c r="BR164" s="228" t="s">
        <v>797</v>
      </c>
      <c r="BS164" s="228">
        <v>1</v>
      </c>
      <c r="BT164" s="228">
        <v>18</v>
      </c>
      <c r="BU164" s="228">
        <v>3</v>
      </c>
      <c r="BV164" s="29">
        <f t="shared" si="49"/>
        <v>54</v>
      </c>
      <c r="BW164" s="29">
        <f t="shared" si="50"/>
        <v>198.5</v>
      </c>
      <c r="BX164" s="228" t="s">
        <v>890</v>
      </c>
      <c r="BY164" s="29" t="s">
        <v>735</v>
      </c>
      <c r="BZ164" s="254"/>
      <c r="CA164" s="254"/>
      <c r="CB164" s="254"/>
      <c r="CC164" s="15"/>
      <c r="CD164" s="15"/>
      <c r="CE164" s="15"/>
      <c r="CF164" s="15"/>
      <c r="CG164" s="15"/>
      <c r="CH164" s="15"/>
      <c r="CI164" s="15"/>
      <c r="CJ164" s="15"/>
    </row>
    <row r="165" spans="1:88" s="117" customFormat="1" ht="30" x14ac:dyDescent="0.25">
      <c r="A165" s="187">
        <v>42013</v>
      </c>
      <c r="B165" s="187"/>
      <c r="C165" s="228" t="s">
        <v>1424</v>
      </c>
      <c r="D165" s="238" t="s">
        <v>60</v>
      </c>
      <c r="E165" s="229" t="s">
        <v>1211</v>
      </c>
      <c r="F165" s="239" t="s">
        <v>1425</v>
      </c>
      <c r="G165" s="32" t="s">
        <v>984</v>
      </c>
      <c r="H165" s="243" t="s">
        <v>1426</v>
      </c>
      <c r="I165" s="32"/>
      <c r="J165" s="32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7" t="s">
        <v>1427</v>
      </c>
      <c r="V165" s="34"/>
      <c r="W165" s="27"/>
      <c r="X165" s="34"/>
      <c r="Y165" s="27" t="s">
        <v>1428</v>
      </c>
      <c r="Z165" s="34"/>
      <c r="AA165" s="228"/>
      <c r="AB165" s="27"/>
      <c r="AC165" s="32"/>
      <c r="AD165" s="32"/>
      <c r="AE165" s="32"/>
      <c r="AF165" s="32"/>
      <c r="AG165" s="32"/>
      <c r="AH165" s="32"/>
      <c r="AI165" s="32"/>
      <c r="AJ165" s="32"/>
      <c r="AK165" s="241"/>
      <c r="AL165" s="32"/>
      <c r="AM165" s="32"/>
      <c r="AN165" s="32"/>
      <c r="AO165" s="32"/>
      <c r="AP165" s="32"/>
      <c r="AQ165" s="27" t="s">
        <v>1429</v>
      </c>
      <c r="AR165" s="103">
        <v>47.77</v>
      </c>
      <c r="AS165" s="191"/>
      <c r="AT165" s="33"/>
      <c r="AU165" s="33"/>
      <c r="AV165" s="27"/>
      <c r="AW165" s="27"/>
      <c r="AX165" s="232" t="s">
        <v>1430</v>
      </c>
      <c r="AY165" s="233">
        <v>10038568738551</v>
      </c>
      <c r="AZ165" s="151"/>
      <c r="BA165" s="151"/>
      <c r="BB165" s="151"/>
      <c r="BC165" s="108">
        <v>5.94</v>
      </c>
      <c r="BD165" s="108">
        <v>13.03</v>
      </c>
      <c r="BE165" s="151"/>
      <c r="BF165" s="456" t="s">
        <v>989</v>
      </c>
      <c r="BG165" s="456"/>
      <c r="BH165" s="456"/>
      <c r="BI165" s="456"/>
      <c r="BJ165" s="456"/>
      <c r="BK165" s="235">
        <f>7+(0.153*2)</f>
        <v>7.306</v>
      </c>
      <c r="BL165" s="235">
        <f>7+(0.153*2)</f>
        <v>7.306</v>
      </c>
      <c r="BM165" s="235">
        <f>14.5+(0.153*4)</f>
        <v>15.112</v>
      </c>
      <c r="BN165" s="157">
        <f t="shared" si="48"/>
        <v>0.46680719631481477</v>
      </c>
      <c r="BO165" s="153">
        <f>1.3+0.25</f>
        <v>1.55</v>
      </c>
      <c r="BP165" s="360"/>
      <c r="BQ165" s="360"/>
      <c r="BR165" s="228" t="s">
        <v>797</v>
      </c>
      <c r="BS165" s="228">
        <v>1</v>
      </c>
      <c r="BT165" s="228">
        <v>30</v>
      </c>
      <c r="BU165" s="228">
        <v>3</v>
      </c>
      <c r="BV165" s="29">
        <f t="shared" si="49"/>
        <v>90</v>
      </c>
      <c r="BW165" s="29">
        <f t="shared" si="50"/>
        <v>189.5</v>
      </c>
      <c r="BX165" s="228" t="s">
        <v>890</v>
      </c>
      <c r="BY165" s="29" t="s">
        <v>735</v>
      </c>
      <c r="BZ165" s="254"/>
      <c r="CA165" s="254"/>
      <c r="CB165" s="254"/>
      <c r="CC165" s="15"/>
      <c r="CD165" s="15"/>
      <c r="CE165" s="15"/>
      <c r="CF165" s="15"/>
      <c r="CG165" s="15"/>
      <c r="CH165" s="15"/>
      <c r="CI165" s="15"/>
      <c r="CJ165" s="15"/>
    </row>
    <row r="166" spans="1:88" s="117" customFormat="1" x14ac:dyDescent="0.25">
      <c r="A166" s="187">
        <v>42013</v>
      </c>
      <c r="B166" s="187"/>
      <c r="C166" s="228" t="s">
        <v>1431</v>
      </c>
      <c r="D166" s="238" t="s">
        <v>60</v>
      </c>
      <c r="E166" s="229" t="s">
        <v>1211</v>
      </c>
      <c r="F166" s="239" t="s">
        <v>1432</v>
      </c>
      <c r="G166" s="32" t="s">
        <v>722</v>
      </c>
      <c r="H166" s="243" t="s">
        <v>1433</v>
      </c>
      <c r="I166" s="32" t="s">
        <v>49</v>
      </c>
      <c r="J166" s="32" t="s">
        <v>1434</v>
      </c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7" t="s">
        <v>1435</v>
      </c>
      <c r="V166" s="34"/>
      <c r="W166" s="27"/>
      <c r="X166" s="34"/>
      <c r="Y166" s="27" t="s">
        <v>1436</v>
      </c>
      <c r="Z166" s="34"/>
      <c r="AA166" s="27" t="s">
        <v>1437</v>
      </c>
      <c r="AB166" s="27" t="s">
        <v>1438</v>
      </c>
      <c r="AC166" s="32"/>
      <c r="AD166" s="32"/>
      <c r="AE166" s="32"/>
      <c r="AF166" s="32"/>
      <c r="AG166" s="32"/>
      <c r="AH166" s="32"/>
      <c r="AI166" s="32"/>
      <c r="AJ166" s="32"/>
      <c r="AK166" s="241"/>
      <c r="AL166" s="32"/>
      <c r="AM166" s="32"/>
      <c r="AN166" s="32"/>
      <c r="AO166" s="32"/>
      <c r="AP166" s="32"/>
      <c r="AQ166" s="27" t="s">
        <v>1439</v>
      </c>
      <c r="AR166" s="103">
        <v>108.59</v>
      </c>
      <c r="AS166" s="191"/>
      <c r="AT166" s="33"/>
      <c r="AU166" s="33"/>
      <c r="AV166" s="27"/>
      <c r="AW166" s="27"/>
      <c r="AX166" s="232" t="s">
        <v>1440</v>
      </c>
      <c r="AY166" s="233">
        <v>10038568738568</v>
      </c>
      <c r="AZ166" s="108">
        <v>13.05</v>
      </c>
      <c r="BA166" s="108">
        <v>8.75</v>
      </c>
      <c r="BB166" s="108" t="s">
        <v>1441</v>
      </c>
      <c r="BC166" s="151"/>
      <c r="BD166" s="151"/>
      <c r="BE166" s="151"/>
      <c r="BF166" s="456" t="s">
        <v>989</v>
      </c>
      <c r="BG166" s="456"/>
      <c r="BH166" s="456"/>
      <c r="BI166" s="456"/>
      <c r="BJ166" s="456"/>
      <c r="BK166" s="235">
        <f>12.75+(0.153*2)</f>
        <v>13.055999999999999</v>
      </c>
      <c r="BL166" s="235">
        <f>8.5+(0.153*2)</f>
        <v>8.8059999999999992</v>
      </c>
      <c r="BM166" s="235">
        <f>9.5+(0.153*4)</f>
        <v>10.112</v>
      </c>
      <c r="BN166" s="157">
        <f t="shared" si="48"/>
        <v>0.67279405511111101</v>
      </c>
      <c r="BO166" s="153">
        <f>1.3+0.25</f>
        <v>1.55</v>
      </c>
      <c r="BP166" s="360"/>
      <c r="BQ166" s="360"/>
      <c r="BR166" s="228" t="s">
        <v>797</v>
      </c>
      <c r="BS166" s="228">
        <v>1</v>
      </c>
      <c r="BT166" s="228">
        <v>15</v>
      </c>
      <c r="BU166" s="228">
        <v>4</v>
      </c>
      <c r="BV166" s="29">
        <f t="shared" si="49"/>
        <v>60</v>
      </c>
      <c r="BW166" s="29">
        <f t="shared" si="50"/>
        <v>143</v>
      </c>
      <c r="BX166" s="228" t="s">
        <v>890</v>
      </c>
      <c r="BY166" s="29" t="s">
        <v>735</v>
      </c>
      <c r="BZ166" s="254"/>
      <c r="CA166" s="254"/>
      <c r="CB166" s="254"/>
      <c r="CC166" s="15"/>
      <c r="CD166" s="15"/>
      <c r="CE166" s="15"/>
      <c r="CF166" s="15"/>
      <c r="CG166" s="15"/>
      <c r="CH166" s="15"/>
      <c r="CI166" s="15"/>
      <c r="CJ166" s="15"/>
    </row>
    <row r="167" spans="1:88" s="117" customFormat="1" ht="30" x14ac:dyDescent="0.25">
      <c r="A167" s="187">
        <v>42013</v>
      </c>
      <c r="B167" s="187"/>
      <c r="C167" s="228" t="s">
        <v>1442</v>
      </c>
      <c r="D167" s="238" t="s">
        <v>60</v>
      </c>
      <c r="E167" s="229" t="s">
        <v>1211</v>
      </c>
      <c r="F167" s="239" t="s">
        <v>1443</v>
      </c>
      <c r="G167" s="32" t="s">
        <v>984</v>
      </c>
      <c r="H167" s="243" t="s">
        <v>1444</v>
      </c>
      <c r="I167" s="32"/>
      <c r="J167" s="32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7" t="s">
        <v>1445</v>
      </c>
      <c r="V167" s="34"/>
      <c r="W167" s="27"/>
      <c r="X167" s="34"/>
      <c r="Y167" s="27" t="s">
        <v>1446</v>
      </c>
      <c r="Z167" s="34"/>
      <c r="AA167" s="27"/>
      <c r="AB167" s="241"/>
      <c r="AC167" s="32"/>
      <c r="AD167" s="32"/>
      <c r="AE167" s="32"/>
      <c r="AF167" s="32"/>
      <c r="AG167" s="32"/>
      <c r="AH167" s="32"/>
      <c r="AI167" s="32"/>
      <c r="AJ167" s="32"/>
      <c r="AK167" s="241"/>
      <c r="AL167" s="32"/>
      <c r="AM167" s="32"/>
      <c r="AN167" s="32"/>
      <c r="AO167" s="32"/>
      <c r="AP167" s="32"/>
      <c r="AQ167" s="27" t="s">
        <v>1447</v>
      </c>
      <c r="AR167" s="103">
        <v>107.54</v>
      </c>
      <c r="AS167" s="191"/>
      <c r="AT167" s="33"/>
      <c r="AU167" s="33"/>
      <c r="AV167" s="27"/>
      <c r="AW167" s="27"/>
      <c r="AX167" s="232" t="s">
        <v>1448</v>
      </c>
      <c r="AY167" s="233">
        <v>10038568739794</v>
      </c>
      <c r="AZ167" s="108">
        <v>10.33</v>
      </c>
      <c r="BA167" s="108">
        <v>10.33</v>
      </c>
      <c r="BB167" s="108">
        <v>9.16</v>
      </c>
      <c r="BC167" s="151"/>
      <c r="BD167" s="151"/>
      <c r="BE167" s="151"/>
      <c r="BF167" s="456" t="s">
        <v>989</v>
      </c>
      <c r="BG167" s="456"/>
      <c r="BH167" s="456"/>
      <c r="BI167" s="456"/>
      <c r="BJ167" s="456"/>
      <c r="BK167" s="235">
        <f>6.5+(0.153*2)</f>
        <v>6.806</v>
      </c>
      <c r="BL167" s="235">
        <f>6.5+(0.153*2)</f>
        <v>6.806</v>
      </c>
      <c r="BM167" s="235">
        <f>5.5+(0.153*4)</f>
        <v>6.1120000000000001</v>
      </c>
      <c r="BN167" s="157">
        <f t="shared" si="48"/>
        <v>0.16384134214814813</v>
      </c>
      <c r="BO167" s="153">
        <f>3+0.25</f>
        <v>3.25</v>
      </c>
      <c r="BP167" s="360"/>
      <c r="BQ167" s="360"/>
      <c r="BR167" s="228" t="s">
        <v>797</v>
      </c>
      <c r="BS167" s="228">
        <v>1</v>
      </c>
      <c r="BT167" s="228">
        <v>12</v>
      </c>
      <c r="BU167" s="228">
        <v>4</v>
      </c>
      <c r="BV167" s="29">
        <f t="shared" si="49"/>
        <v>48</v>
      </c>
      <c r="BW167" s="29">
        <f t="shared" si="50"/>
        <v>206</v>
      </c>
      <c r="BX167" s="228" t="s">
        <v>890</v>
      </c>
      <c r="BY167" s="29" t="s">
        <v>735</v>
      </c>
      <c r="BZ167" s="254"/>
      <c r="CA167" s="254"/>
      <c r="CB167" s="254"/>
      <c r="CC167" s="15"/>
      <c r="CD167" s="15"/>
      <c r="CE167" s="15"/>
      <c r="CF167" s="15"/>
      <c r="CG167" s="15"/>
      <c r="CH167" s="15"/>
      <c r="CI167" s="15"/>
      <c r="CJ167" s="15"/>
    </row>
    <row r="168" spans="1:88" s="117" customFormat="1" x14ac:dyDescent="0.25">
      <c r="A168" s="187">
        <v>42013</v>
      </c>
      <c r="B168" s="187"/>
      <c r="C168" s="228" t="s">
        <v>1449</v>
      </c>
      <c r="D168" s="238" t="s">
        <v>60</v>
      </c>
      <c r="E168" s="229" t="s">
        <v>1211</v>
      </c>
      <c r="F168" s="238" t="s">
        <v>1450</v>
      </c>
      <c r="G168" s="32" t="s">
        <v>1451</v>
      </c>
      <c r="H168" s="243" t="s">
        <v>1452</v>
      </c>
      <c r="I168" s="32" t="s">
        <v>1364</v>
      </c>
      <c r="J168" s="32" t="s">
        <v>1453</v>
      </c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7" t="s">
        <v>1454</v>
      </c>
      <c r="V168" s="34"/>
      <c r="W168" s="27"/>
      <c r="X168" s="34"/>
      <c r="Y168" s="27"/>
      <c r="Z168" s="34"/>
      <c r="AA168" s="27" t="s">
        <v>1455</v>
      </c>
      <c r="AB168" s="228" t="s">
        <v>1456</v>
      </c>
      <c r="AC168" s="32"/>
      <c r="AD168" s="32"/>
      <c r="AE168" s="32"/>
      <c r="AF168" s="32"/>
      <c r="AG168" s="32"/>
      <c r="AH168" s="32"/>
      <c r="AI168" s="32"/>
      <c r="AJ168" s="32"/>
      <c r="AK168" s="241"/>
      <c r="AL168" s="32"/>
      <c r="AM168" s="32"/>
      <c r="AN168" s="32"/>
      <c r="AO168" s="32"/>
      <c r="AP168" s="32"/>
      <c r="AQ168" s="228">
        <v>24469</v>
      </c>
      <c r="AR168" s="103">
        <v>32.6</v>
      </c>
      <c r="AS168" s="191"/>
      <c r="AT168" s="33"/>
      <c r="AU168" s="33"/>
      <c r="AV168" s="228"/>
      <c r="AW168" s="228"/>
      <c r="AX168" s="232" t="s">
        <v>1457</v>
      </c>
      <c r="AY168" s="233">
        <v>10038568742138</v>
      </c>
      <c r="AZ168" s="108">
        <v>8.86</v>
      </c>
      <c r="BA168" s="108">
        <v>6.5350000000000001</v>
      </c>
      <c r="BB168" s="108">
        <v>1.988</v>
      </c>
      <c r="BC168" s="151"/>
      <c r="BD168" s="151"/>
      <c r="BE168" s="151"/>
      <c r="BF168" s="153">
        <f>8.86</f>
        <v>8.86</v>
      </c>
      <c r="BG168" s="153">
        <f>6.54</f>
        <v>6.54</v>
      </c>
      <c r="BH168" s="153">
        <f>1.99</f>
        <v>1.99</v>
      </c>
      <c r="BI168" s="157">
        <f t="shared" ref="BI168" si="53">(BH168*BG168*BF168)/1728</f>
        <v>6.6729951388888889E-2</v>
      </c>
      <c r="BJ168" s="153">
        <f>1.2+0.1</f>
        <v>1.3</v>
      </c>
      <c r="BK168" s="153">
        <f>10+(0.153*2)</f>
        <v>10.305999999999999</v>
      </c>
      <c r="BL168" s="153">
        <f>7.5+(0.153*2)</f>
        <v>7.806</v>
      </c>
      <c r="BM168" s="153">
        <f>6.62+(0.153*4)</f>
        <v>7.2320000000000002</v>
      </c>
      <c r="BN168" s="157">
        <f t="shared" si="48"/>
        <v>0.3366924395555555</v>
      </c>
      <c r="BO168" s="153">
        <f>(BJ168*3)+0.25</f>
        <v>4.1500000000000004</v>
      </c>
      <c r="BP168" s="360"/>
      <c r="BQ168" s="360"/>
      <c r="BR168" s="161" t="s">
        <v>797</v>
      </c>
      <c r="BS168" s="161">
        <v>3</v>
      </c>
      <c r="BT168" s="161">
        <v>22</v>
      </c>
      <c r="BU168" s="161">
        <v>6</v>
      </c>
      <c r="BV168" s="29">
        <f t="shared" si="49"/>
        <v>396</v>
      </c>
      <c r="BW168" s="29">
        <f>(BO168*BT168*BU168)+50</f>
        <v>597.80000000000007</v>
      </c>
      <c r="BX168" s="161" t="s">
        <v>743</v>
      </c>
      <c r="BY168" s="29" t="s">
        <v>735</v>
      </c>
      <c r="BZ168" s="254"/>
      <c r="CA168" s="254"/>
      <c r="CB168" s="254"/>
      <c r="CC168" s="15"/>
      <c r="CD168" s="15"/>
      <c r="CE168" s="15"/>
      <c r="CF168" s="15"/>
      <c r="CG168" s="15"/>
      <c r="CH168" s="15"/>
      <c r="CI168" s="15"/>
      <c r="CJ168" s="15"/>
    </row>
    <row r="169" spans="1:88" s="117" customFormat="1" ht="30" x14ac:dyDescent="0.25">
      <c r="A169" s="187">
        <v>41983</v>
      </c>
      <c r="B169" s="187"/>
      <c r="C169" s="228" t="s">
        <v>1458</v>
      </c>
      <c r="D169" s="238" t="s">
        <v>60</v>
      </c>
      <c r="E169" s="229" t="s">
        <v>1079</v>
      </c>
      <c r="F169" s="255" t="s">
        <v>1459</v>
      </c>
      <c r="G169" s="32" t="s">
        <v>1460</v>
      </c>
      <c r="H169" s="243" t="s">
        <v>1461</v>
      </c>
      <c r="I169" s="32" t="s">
        <v>1460</v>
      </c>
      <c r="J169" s="32" t="s">
        <v>1462</v>
      </c>
      <c r="K169" s="27"/>
      <c r="L169" s="28"/>
      <c r="M169" s="28"/>
      <c r="N169" s="28"/>
      <c r="O169" s="230"/>
      <c r="P169" s="230"/>
      <c r="Q169" s="230"/>
      <c r="R169" s="230"/>
      <c r="S169" s="230"/>
      <c r="T169" s="230"/>
      <c r="U169" s="27"/>
      <c r="V169" s="34"/>
      <c r="W169" s="27"/>
      <c r="X169" s="34"/>
      <c r="Y169" s="27"/>
      <c r="Z169" s="34"/>
      <c r="AA169" s="27"/>
      <c r="AB169" s="27"/>
      <c r="AC169" s="32"/>
      <c r="AD169" s="32"/>
      <c r="AE169" s="32"/>
      <c r="AF169" s="32"/>
      <c r="AG169" s="32"/>
      <c r="AH169" s="32"/>
      <c r="AI169" s="32"/>
      <c r="AJ169" s="32"/>
      <c r="AK169" s="241"/>
      <c r="AL169" s="32"/>
      <c r="AM169" s="32"/>
      <c r="AN169" s="32"/>
      <c r="AO169" s="32"/>
      <c r="AP169" s="32"/>
      <c r="AQ169" s="27"/>
      <c r="AR169" s="33">
        <v>6.98</v>
      </c>
      <c r="AS169" s="191">
        <v>0.5</v>
      </c>
      <c r="AT169" s="33">
        <v>0.55000000000000004</v>
      </c>
      <c r="AU169" s="33">
        <v>0.4</v>
      </c>
      <c r="AV169" s="27"/>
      <c r="AW169" s="27"/>
      <c r="AX169" s="232" t="s">
        <v>1463</v>
      </c>
      <c r="AY169" s="233">
        <v>10038568738223</v>
      </c>
      <c r="AZ169" s="37"/>
      <c r="BA169" s="37"/>
      <c r="BB169" s="37"/>
      <c r="BC169" s="108">
        <v>2.9820000000000002</v>
      </c>
      <c r="BD169" s="108">
        <v>3.9359999999999999</v>
      </c>
      <c r="BE169" s="108">
        <v>2.39</v>
      </c>
      <c r="BF169" s="457" t="s">
        <v>1464</v>
      </c>
      <c r="BG169" s="458"/>
      <c r="BH169" s="458"/>
      <c r="BI169" s="458"/>
      <c r="BJ169" s="235">
        <f>0.84+0.1</f>
        <v>0.94</v>
      </c>
      <c r="BK169" s="235">
        <f>10.5+(0.125*2)</f>
        <v>10.75</v>
      </c>
      <c r="BL169" s="235">
        <f>7+(0.125*2)</f>
        <v>7.25</v>
      </c>
      <c r="BM169" s="235">
        <f>4.12+(0.125*4)</f>
        <v>4.62</v>
      </c>
      <c r="BN169" s="157">
        <f t="shared" si="48"/>
        <v>0.2083745659722222</v>
      </c>
      <c r="BO169" s="153">
        <f>(BJ169*6)+0.25</f>
        <v>5.89</v>
      </c>
      <c r="BP169" s="360"/>
      <c r="BQ169" s="360"/>
      <c r="BR169" s="228" t="s">
        <v>797</v>
      </c>
      <c r="BS169" s="228">
        <v>6</v>
      </c>
      <c r="BT169" s="228">
        <v>22</v>
      </c>
      <c r="BU169" s="228">
        <v>9</v>
      </c>
      <c r="BV169" s="29">
        <f t="shared" si="49"/>
        <v>1188</v>
      </c>
      <c r="BW169" s="29">
        <f t="shared" ref="BW169:BW174" si="54">(BO169*BT169*BU169)+50</f>
        <v>1216.2199999999998</v>
      </c>
      <c r="BX169" s="228" t="s">
        <v>890</v>
      </c>
      <c r="BY169" s="29" t="s">
        <v>735</v>
      </c>
      <c r="BZ169" s="254"/>
      <c r="CA169" s="254"/>
      <c r="CB169" s="254"/>
      <c r="CC169" s="15"/>
      <c r="CD169" s="15"/>
      <c r="CE169" s="15"/>
      <c r="CF169" s="15"/>
      <c r="CG169" s="15"/>
      <c r="CH169" s="15"/>
      <c r="CI169" s="15"/>
      <c r="CJ169" s="15"/>
    </row>
    <row r="170" spans="1:88" s="117" customFormat="1" ht="30" x14ac:dyDescent="0.25">
      <c r="A170" s="187">
        <v>41957</v>
      </c>
      <c r="B170" s="187"/>
      <c r="C170" s="229" t="s">
        <v>1465</v>
      </c>
      <c r="D170" s="238" t="s">
        <v>60</v>
      </c>
      <c r="E170" s="229" t="s">
        <v>1466</v>
      </c>
      <c r="F170" s="252" t="s">
        <v>1467</v>
      </c>
      <c r="G170" s="32" t="s">
        <v>1468</v>
      </c>
      <c r="H170" s="243" t="s">
        <v>1469</v>
      </c>
      <c r="I170" s="32" t="s">
        <v>1470</v>
      </c>
      <c r="J170" s="32">
        <v>9210280007</v>
      </c>
      <c r="K170" s="27" t="s">
        <v>1471</v>
      </c>
      <c r="L170" s="28" t="s">
        <v>1472</v>
      </c>
      <c r="M170" s="28" t="s">
        <v>790</v>
      </c>
      <c r="N170" s="28">
        <v>76086226</v>
      </c>
      <c r="O170" s="230"/>
      <c r="P170" s="230"/>
      <c r="Q170" s="230"/>
      <c r="R170" s="230"/>
      <c r="S170" s="230"/>
      <c r="T170" s="230"/>
      <c r="U170" s="27" t="s">
        <v>1473</v>
      </c>
      <c r="V170" s="34"/>
      <c r="W170" s="27"/>
      <c r="X170" s="34"/>
      <c r="Y170" s="27" t="s">
        <v>1474</v>
      </c>
      <c r="Z170" s="34"/>
      <c r="AA170" s="27" t="s">
        <v>1475</v>
      </c>
      <c r="AB170" s="27"/>
      <c r="AC170" s="32"/>
      <c r="AD170" s="32"/>
      <c r="AE170" s="32"/>
      <c r="AF170" s="32"/>
      <c r="AG170" s="32"/>
      <c r="AH170" s="32"/>
      <c r="AI170" s="32"/>
      <c r="AJ170" s="32"/>
      <c r="AK170" s="241"/>
      <c r="AL170" s="32"/>
      <c r="AM170" s="32"/>
      <c r="AN170" s="32"/>
      <c r="AO170" s="32"/>
      <c r="AP170" s="32"/>
      <c r="AQ170" s="27" t="s">
        <v>1476</v>
      </c>
      <c r="AR170" s="33">
        <v>66.86</v>
      </c>
      <c r="AS170" s="191">
        <v>0.5</v>
      </c>
      <c r="AT170" s="33">
        <v>0.55000000000000004</v>
      </c>
      <c r="AU170" s="33">
        <v>0.4</v>
      </c>
      <c r="AV170" s="27"/>
      <c r="AW170" s="27"/>
      <c r="AX170" s="232" t="s">
        <v>1477</v>
      </c>
      <c r="AY170" s="233">
        <v>10038568737981</v>
      </c>
      <c r="AZ170" s="37"/>
      <c r="BA170" s="37"/>
      <c r="BB170" s="37"/>
      <c r="BC170" s="157">
        <v>3.75</v>
      </c>
      <c r="BD170" s="157">
        <v>7.21</v>
      </c>
      <c r="BE170" s="151"/>
      <c r="BF170" s="235">
        <f>4.1875+(0.0625*2)</f>
        <v>4.3125</v>
      </c>
      <c r="BG170" s="235">
        <f>4.1875+(0.0625*2)</f>
        <v>4.3125</v>
      </c>
      <c r="BH170" s="235">
        <f>7.625+(0.0625*4)</f>
        <v>7.875</v>
      </c>
      <c r="BI170" s="157">
        <f t="shared" ref="BI170:BI173" si="55">(BH170*BG170*BF170)/1728</f>
        <v>8.475494384765625E-2</v>
      </c>
      <c r="BJ170" s="235">
        <f>2.35+0.1</f>
        <v>2.4500000000000002</v>
      </c>
      <c r="BK170" s="153">
        <f>13.375+(0.125*2)</f>
        <v>13.625</v>
      </c>
      <c r="BL170" s="153">
        <f>8.9475+(0.125*2)</f>
        <v>9.1974999999999998</v>
      </c>
      <c r="BM170" s="153">
        <f>8.125+(0.125*4)</f>
        <v>8.625</v>
      </c>
      <c r="BN170" s="157">
        <f t="shared" si="48"/>
        <v>0.6254918755425346</v>
      </c>
      <c r="BO170" s="153">
        <f>(BJ170*6)+0.25</f>
        <v>14.950000000000001</v>
      </c>
      <c r="BP170" s="360"/>
      <c r="BQ170" s="360"/>
      <c r="BR170" s="228" t="s">
        <v>797</v>
      </c>
      <c r="BS170" s="228">
        <v>6</v>
      </c>
      <c r="BT170" s="228">
        <v>13</v>
      </c>
      <c r="BU170" s="228">
        <v>5</v>
      </c>
      <c r="BV170" s="29">
        <f t="shared" si="49"/>
        <v>390</v>
      </c>
      <c r="BW170" s="29">
        <f t="shared" si="54"/>
        <v>1021.7500000000001</v>
      </c>
      <c r="BX170" s="29" t="s">
        <v>890</v>
      </c>
      <c r="BY170" s="29" t="s">
        <v>735</v>
      </c>
      <c r="BZ170" s="254"/>
      <c r="CA170" s="254"/>
      <c r="CB170" s="254"/>
      <c r="CC170" s="15"/>
      <c r="CD170" s="15"/>
      <c r="CE170" s="15"/>
      <c r="CF170" s="15"/>
      <c r="CG170" s="15"/>
      <c r="CH170" s="15"/>
      <c r="CI170" s="15"/>
      <c r="CJ170" s="15"/>
    </row>
    <row r="171" spans="1:88" s="117" customFormat="1" x14ac:dyDescent="0.25">
      <c r="A171" s="256">
        <v>41927</v>
      </c>
      <c r="B171" s="256"/>
      <c r="C171" s="229" t="s">
        <v>1478</v>
      </c>
      <c r="D171" s="229" t="s">
        <v>60</v>
      </c>
      <c r="E171" s="229" t="s">
        <v>1084</v>
      </c>
      <c r="F171" s="252" t="s">
        <v>1479</v>
      </c>
      <c r="G171" s="32" t="s">
        <v>1480</v>
      </c>
      <c r="H171" s="243" t="s">
        <v>1481</v>
      </c>
      <c r="I171" s="32" t="s">
        <v>1482</v>
      </c>
      <c r="J171" s="32" t="s">
        <v>1483</v>
      </c>
      <c r="K171" s="27" t="s">
        <v>1484</v>
      </c>
      <c r="L171" s="28">
        <v>12065155020</v>
      </c>
      <c r="M171" s="230"/>
      <c r="N171" s="230"/>
      <c r="O171" s="230"/>
      <c r="P171" s="230"/>
      <c r="Q171" s="230"/>
      <c r="R171" s="230"/>
      <c r="S171" s="230"/>
      <c r="T171" s="230"/>
      <c r="U171" s="27"/>
      <c r="V171" s="34"/>
      <c r="W171" s="27"/>
      <c r="X171" s="34"/>
      <c r="Y171" s="27"/>
      <c r="Z171" s="34"/>
      <c r="AA171" s="27" t="s">
        <v>1485</v>
      </c>
      <c r="AB171" s="27" t="s">
        <v>1486</v>
      </c>
      <c r="AC171" s="32"/>
      <c r="AD171" s="32"/>
      <c r="AE171" s="32"/>
      <c r="AF171" s="32"/>
      <c r="AG171" s="32"/>
      <c r="AH171" s="32" t="s">
        <v>1487</v>
      </c>
      <c r="AI171" s="32"/>
      <c r="AJ171" s="32"/>
      <c r="AK171" s="241"/>
      <c r="AL171" s="32"/>
      <c r="AM171" s="32"/>
      <c r="AN171" s="32"/>
      <c r="AO171" s="32"/>
      <c r="AP171" s="32"/>
      <c r="AQ171" s="27"/>
      <c r="AR171" s="33">
        <v>18.63</v>
      </c>
      <c r="AS171" s="191">
        <v>0.5</v>
      </c>
      <c r="AT171" s="33">
        <v>0.55000000000000004</v>
      </c>
      <c r="AU171" s="33">
        <v>0.4</v>
      </c>
      <c r="AV171" s="27"/>
      <c r="AW171" s="27"/>
      <c r="AX171" s="232" t="s">
        <v>1488</v>
      </c>
      <c r="AY171" s="233">
        <v>10038568738506</v>
      </c>
      <c r="AZ171" s="37"/>
      <c r="BA171" s="37"/>
      <c r="BB171" s="37"/>
      <c r="BC171" s="257">
        <v>4.2300000000000004</v>
      </c>
      <c r="BD171" s="257">
        <v>5.8</v>
      </c>
      <c r="BE171" s="151"/>
      <c r="BF171" s="157">
        <f>4.25+(0.018*2)</f>
        <v>4.2859999999999996</v>
      </c>
      <c r="BG171" s="157">
        <f>4.25+(0.018*2)</f>
        <v>4.2859999999999996</v>
      </c>
      <c r="BH171" s="157">
        <f>6+(0.018*4)</f>
        <v>6.0720000000000001</v>
      </c>
      <c r="BI171" s="157">
        <f t="shared" si="55"/>
        <v>6.4549422055555541E-2</v>
      </c>
      <c r="BJ171" s="157">
        <f>1.7+0.1</f>
        <v>1.8</v>
      </c>
      <c r="BK171" s="235">
        <f>18+(0.153*2)</f>
        <v>18.306000000000001</v>
      </c>
      <c r="BL171" s="235">
        <f>13.5+(0.153*2)</f>
        <v>13.805999999999999</v>
      </c>
      <c r="BM171" s="235">
        <f>6.25+(0.153*4)</f>
        <v>6.8620000000000001</v>
      </c>
      <c r="BN171" s="157">
        <f t="shared" si="48"/>
        <v>1.0036176783749999</v>
      </c>
      <c r="BO171" s="153">
        <f>(BJ171*6)+0.25</f>
        <v>11.05</v>
      </c>
      <c r="BP171" s="360"/>
      <c r="BQ171" s="360"/>
      <c r="BR171" s="228" t="s">
        <v>733</v>
      </c>
      <c r="BS171" s="228">
        <v>12</v>
      </c>
      <c r="BT171" s="228">
        <v>6</v>
      </c>
      <c r="BU171" s="228">
        <v>6</v>
      </c>
      <c r="BV171" s="29">
        <f t="shared" si="49"/>
        <v>432</v>
      </c>
      <c r="BW171" s="29">
        <f t="shared" si="54"/>
        <v>447.80000000000007</v>
      </c>
      <c r="BX171" s="228" t="s">
        <v>890</v>
      </c>
      <c r="BY171" s="29" t="s">
        <v>735</v>
      </c>
      <c r="BZ171" s="254"/>
      <c r="CA171" s="254"/>
      <c r="CB171" s="254"/>
      <c r="CC171" s="15"/>
      <c r="CD171" s="15"/>
      <c r="CE171" s="15"/>
      <c r="CF171" s="15"/>
      <c r="CG171" s="15"/>
      <c r="CH171" s="15"/>
      <c r="CI171" s="15"/>
      <c r="CJ171" s="15"/>
    </row>
    <row r="172" spans="1:88" s="117" customFormat="1" x14ac:dyDescent="0.25">
      <c r="A172" s="256">
        <v>41913</v>
      </c>
      <c r="B172" s="256"/>
      <c r="C172" s="229" t="s">
        <v>1489</v>
      </c>
      <c r="D172" s="229" t="s">
        <v>60</v>
      </c>
      <c r="E172" s="229" t="s">
        <v>1101</v>
      </c>
      <c r="F172" s="27" t="s">
        <v>1490</v>
      </c>
      <c r="G172" s="32" t="s">
        <v>1364</v>
      </c>
      <c r="H172" s="243" t="s">
        <v>1491</v>
      </c>
      <c r="I172" s="32"/>
      <c r="J172" s="32"/>
      <c r="K172" s="27"/>
      <c r="L172" s="28"/>
      <c r="M172" s="230"/>
      <c r="N172" s="230"/>
      <c r="O172" s="230"/>
      <c r="P172" s="230"/>
      <c r="Q172" s="230"/>
      <c r="R172" s="230"/>
      <c r="S172" s="230"/>
      <c r="T172" s="230"/>
      <c r="U172" s="27" t="s">
        <v>1492</v>
      </c>
      <c r="V172" s="34"/>
      <c r="W172" s="27"/>
      <c r="X172" s="34"/>
      <c r="Y172" s="27" t="s">
        <v>1493</v>
      </c>
      <c r="Z172" s="34"/>
      <c r="AA172" s="27"/>
      <c r="AB172" s="27"/>
      <c r="AC172" s="32"/>
      <c r="AD172" s="32"/>
      <c r="AE172" s="32"/>
      <c r="AF172" s="32"/>
      <c r="AG172" s="32"/>
      <c r="AH172" s="32"/>
      <c r="AI172" s="32"/>
      <c r="AJ172" s="32"/>
      <c r="AK172" s="241"/>
      <c r="AL172" s="32"/>
      <c r="AM172" s="32"/>
      <c r="AN172" s="32"/>
      <c r="AO172" s="32"/>
      <c r="AP172" s="32"/>
      <c r="AQ172" s="27" t="s">
        <v>1494</v>
      </c>
      <c r="AR172" s="33">
        <v>13.01</v>
      </c>
      <c r="AS172" s="258"/>
      <c r="AT172" s="37"/>
      <c r="AU172" s="37"/>
      <c r="AV172" s="27"/>
      <c r="AW172" s="27"/>
      <c r="AX172" s="193" t="s">
        <v>1495</v>
      </c>
      <c r="AY172" s="212">
        <v>10038568737615</v>
      </c>
      <c r="AZ172" s="108">
        <v>7.87</v>
      </c>
      <c r="BA172" s="108">
        <v>8.0299999999999994</v>
      </c>
      <c r="BB172" s="108">
        <v>0.79</v>
      </c>
      <c r="BC172" s="151"/>
      <c r="BD172" s="151"/>
      <c r="BE172" s="151"/>
      <c r="BF172" s="157">
        <f>8.07+(0.02*2)</f>
        <v>8.11</v>
      </c>
      <c r="BG172" s="157">
        <f>0.98+(0.02*2)</f>
        <v>1.02</v>
      </c>
      <c r="BH172" s="157">
        <f>8.27+(0.02*4)</f>
        <v>8.35</v>
      </c>
      <c r="BI172" s="157">
        <f t="shared" si="55"/>
        <v>3.997272569444444E-2</v>
      </c>
      <c r="BJ172" s="157">
        <f>0.33+0.1</f>
        <v>0.43000000000000005</v>
      </c>
      <c r="BK172" s="235">
        <f>8.66+(0.125*2)</f>
        <v>8.91</v>
      </c>
      <c r="BL172" s="235">
        <f>8.46+(0.125*2)</f>
        <v>8.7100000000000009</v>
      </c>
      <c r="BM172" s="235">
        <f>6.5+(0.125*4)</f>
        <v>7</v>
      </c>
      <c r="BN172" s="157">
        <f t="shared" si="48"/>
        <v>0.31437656250000001</v>
      </c>
      <c r="BO172" s="153">
        <f>(BJ172*6)+0.25</f>
        <v>2.83</v>
      </c>
      <c r="BP172" s="360"/>
      <c r="BQ172" s="360"/>
      <c r="BR172" s="228" t="s">
        <v>733</v>
      </c>
      <c r="BS172" s="228">
        <v>6</v>
      </c>
      <c r="BT172" s="228">
        <v>20</v>
      </c>
      <c r="BU172" s="228">
        <v>7</v>
      </c>
      <c r="BV172" s="29">
        <f t="shared" si="49"/>
        <v>840</v>
      </c>
      <c r="BW172" s="29">
        <f t="shared" si="54"/>
        <v>446.2</v>
      </c>
      <c r="BX172" s="228" t="s">
        <v>743</v>
      </c>
      <c r="BY172" s="29" t="s">
        <v>735</v>
      </c>
      <c r="BZ172" s="254"/>
      <c r="CA172" s="254"/>
      <c r="CB172" s="254"/>
      <c r="CC172" s="15"/>
      <c r="CD172" s="15"/>
      <c r="CE172" s="15"/>
      <c r="CF172" s="15"/>
      <c r="CG172" s="15"/>
      <c r="CH172" s="15"/>
      <c r="CI172" s="15"/>
      <c r="CJ172" s="15"/>
    </row>
    <row r="173" spans="1:88" s="117" customFormat="1" ht="30" x14ac:dyDescent="0.25">
      <c r="A173" s="256">
        <v>41913</v>
      </c>
      <c r="B173" s="256"/>
      <c r="C173" s="229" t="s">
        <v>1496</v>
      </c>
      <c r="D173" s="229" t="s">
        <v>60</v>
      </c>
      <c r="E173" s="229" t="s">
        <v>1101</v>
      </c>
      <c r="F173" s="28" t="s">
        <v>1497</v>
      </c>
      <c r="G173" s="32" t="s">
        <v>1355</v>
      </c>
      <c r="H173" s="243" t="s">
        <v>1498</v>
      </c>
      <c r="I173" s="32"/>
      <c r="J173" s="32"/>
      <c r="K173" s="27"/>
      <c r="L173" s="28"/>
      <c r="M173" s="230"/>
      <c r="N173" s="230"/>
      <c r="O173" s="230"/>
      <c r="P173" s="230"/>
      <c r="Q173" s="230"/>
      <c r="R173" s="230"/>
      <c r="S173" s="230"/>
      <c r="T173" s="230"/>
      <c r="U173" s="27" t="s">
        <v>1499</v>
      </c>
      <c r="V173" s="34"/>
      <c r="W173" s="27"/>
      <c r="X173" s="34"/>
      <c r="Y173" s="27" t="s">
        <v>1500</v>
      </c>
      <c r="Z173" s="34"/>
      <c r="AA173" s="27" t="s">
        <v>1501</v>
      </c>
      <c r="AB173" s="27"/>
      <c r="AC173" s="32"/>
      <c r="AD173" s="32"/>
      <c r="AE173" s="32"/>
      <c r="AF173" s="32"/>
      <c r="AG173" s="32"/>
      <c r="AH173" s="32"/>
      <c r="AI173" s="32"/>
      <c r="AJ173" s="32"/>
      <c r="AK173" s="241"/>
      <c r="AL173" s="32"/>
      <c r="AM173" s="32"/>
      <c r="AN173" s="32"/>
      <c r="AO173" s="32"/>
      <c r="AP173" s="32"/>
      <c r="AQ173" s="27">
        <v>49980</v>
      </c>
      <c r="AR173" s="33">
        <v>34.07</v>
      </c>
      <c r="AS173" s="259"/>
      <c r="AT173" s="259"/>
      <c r="AU173" s="259"/>
      <c r="AV173" s="27"/>
      <c r="AW173" s="27"/>
      <c r="AX173" s="251" t="s">
        <v>1502</v>
      </c>
      <c r="AY173" s="260">
        <v>10038568737851</v>
      </c>
      <c r="AZ173" s="108">
        <v>19.84</v>
      </c>
      <c r="BA173" s="108">
        <v>2.34</v>
      </c>
      <c r="BB173" s="108">
        <v>11.26</v>
      </c>
      <c r="BC173" s="151"/>
      <c r="BD173" s="151"/>
      <c r="BE173" s="151"/>
      <c r="BF173" s="157">
        <f>19.92+(0.02*2)</f>
        <v>19.96</v>
      </c>
      <c r="BG173" s="157">
        <f>11.42+(0.02*2)</f>
        <v>11.459999999999999</v>
      </c>
      <c r="BH173" s="157">
        <f>2.36+(0.02*4)</f>
        <v>2.44</v>
      </c>
      <c r="BI173" s="157">
        <f t="shared" si="55"/>
        <v>0.32299161111111113</v>
      </c>
      <c r="BJ173" s="157">
        <f>1.4+0.1</f>
        <v>1.5</v>
      </c>
      <c r="BK173" s="235">
        <f>20.31+(0.125*2)</f>
        <v>20.56</v>
      </c>
      <c r="BL173" s="235">
        <f>11.81+(0.125*2)</f>
        <v>12.06</v>
      </c>
      <c r="BM173" s="235">
        <f>14.76+(0.125*4)</f>
        <v>15.26</v>
      </c>
      <c r="BN173" s="157">
        <f t="shared" si="48"/>
        <v>2.1896828333333334</v>
      </c>
      <c r="BO173" s="153">
        <f>(BJ173*6)+0.25</f>
        <v>9.25</v>
      </c>
      <c r="BP173" s="360"/>
      <c r="BQ173" s="360"/>
      <c r="BR173" s="228" t="s">
        <v>733</v>
      </c>
      <c r="BS173" s="228">
        <v>6</v>
      </c>
      <c r="BT173" s="228">
        <v>6</v>
      </c>
      <c r="BU173" s="228">
        <v>3</v>
      </c>
      <c r="BV173" s="29">
        <f t="shared" si="49"/>
        <v>108</v>
      </c>
      <c r="BW173" s="29">
        <f t="shared" si="54"/>
        <v>216.5</v>
      </c>
      <c r="BX173" s="228" t="s">
        <v>743</v>
      </c>
      <c r="BY173" s="29" t="s">
        <v>735</v>
      </c>
      <c r="BZ173" s="254"/>
      <c r="CA173" s="254"/>
      <c r="CB173" s="254"/>
      <c r="CC173" s="15"/>
      <c r="CD173" s="15"/>
      <c r="CE173" s="15"/>
      <c r="CF173" s="15"/>
      <c r="CG173" s="15"/>
      <c r="CH173" s="15"/>
      <c r="CI173" s="15"/>
      <c r="CJ173" s="15"/>
    </row>
    <row r="174" spans="1:88" s="117" customFormat="1" x14ac:dyDescent="0.25">
      <c r="A174" s="256">
        <v>41897</v>
      </c>
      <c r="B174" s="256"/>
      <c r="C174" s="229" t="s">
        <v>1503</v>
      </c>
      <c r="D174" s="229" t="s">
        <v>60</v>
      </c>
      <c r="E174" s="229" t="s">
        <v>65</v>
      </c>
      <c r="F174" s="223" t="s">
        <v>1504</v>
      </c>
      <c r="G174" s="32" t="s">
        <v>1505</v>
      </c>
      <c r="H174" s="243" t="s">
        <v>1506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33">
        <v>13.69</v>
      </c>
      <c r="AS174" s="33">
        <v>0.5</v>
      </c>
      <c r="AT174" s="33">
        <v>0.55000000000000004</v>
      </c>
      <c r="AU174" s="33">
        <v>0.4</v>
      </c>
      <c r="AV174" s="261"/>
      <c r="AW174" s="261"/>
      <c r="AX174" s="262" t="s">
        <v>1507</v>
      </c>
      <c r="AY174" s="262" t="s">
        <v>1508</v>
      </c>
      <c r="AZ174" s="37"/>
      <c r="BA174" s="37"/>
      <c r="BB174" s="37"/>
      <c r="BC174" s="157">
        <v>3.65</v>
      </c>
      <c r="BD174" s="157">
        <v>6.48</v>
      </c>
      <c r="BE174" s="37"/>
      <c r="BF174" s="451" t="s">
        <v>1509</v>
      </c>
      <c r="BG174" s="451"/>
      <c r="BH174" s="451"/>
      <c r="BI174" s="451"/>
      <c r="BJ174" s="451"/>
      <c r="BK174" s="235">
        <v>15.81</v>
      </c>
      <c r="BL174" s="235">
        <v>11.93</v>
      </c>
      <c r="BM174" s="235">
        <v>7.5</v>
      </c>
      <c r="BN174" s="157">
        <f t="shared" si="48"/>
        <v>0.81863411458333324</v>
      </c>
      <c r="BO174" s="235">
        <f>1.5*12+0.4</f>
        <v>18.399999999999999</v>
      </c>
      <c r="BP174" s="365"/>
      <c r="BQ174" s="365"/>
      <c r="BR174" s="228" t="s">
        <v>733</v>
      </c>
      <c r="BS174" s="228">
        <v>12</v>
      </c>
      <c r="BT174" s="228">
        <v>10</v>
      </c>
      <c r="BU174" s="228">
        <v>6</v>
      </c>
      <c r="BV174" s="29">
        <f t="shared" si="49"/>
        <v>720</v>
      </c>
      <c r="BW174" s="29">
        <f t="shared" si="54"/>
        <v>1154</v>
      </c>
      <c r="BX174" s="228" t="s">
        <v>890</v>
      </c>
      <c r="BY174" s="29" t="s">
        <v>735</v>
      </c>
      <c r="BZ174" s="254"/>
      <c r="CA174" s="254"/>
      <c r="CB174" s="254"/>
      <c r="CC174" s="15"/>
      <c r="CD174" s="15"/>
      <c r="CE174" s="15"/>
      <c r="CF174" s="15"/>
      <c r="CG174" s="15"/>
      <c r="CH174" s="15"/>
      <c r="CI174" s="15"/>
      <c r="CJ174" s="15"/>
    </row>
    <row r="175" spans="1:88" s="117" customFormat="1" x14ac:dyDescent="0.25">
      <c r="A175" s="256">
        <v>41883</v>
      </c>
      <c r="B175" s="256"/>
      <c r="C175" s="229" t="s">
        <v>696</v>
      </c>
      <c r="D175" s="229" t="s">
        <v>60</v>
      </c>
      <c r="E175" s="229" t="s">
        <v>1510</v>
      </c>
      <c r="F175" s="223" t="s">
        <v>1511</v>
      </c>
      <c r="G175" s="32" t="s">
        <v>1512</v>
      </c>
      <c r="H175" s="32" t="s">
        <v>1513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61"/>
      <c r="V175" s="261"/>
      <c r="W175" s="261"/>
      <c r="X175" s="261"/>
      <c r="Y175" s="27" t="s">
        <v>1514</v>
      </c>
      <c r="Z175" s="34"/>
      <c r="AA175" s="27"/>
      <c r="AB175" s="27"/>
      <c r="AC175" s="32"/>
      <c r="AD175" s="32"/>
      <c r="AE175" s="32"/>
      <c r="AF175" s="32"/>
      <c r="AG175" s="32"/>
      <c r="AH175" s="32"/>
      <c r="AI175" s="32"/>
      <c r="AJ175" s="32"/>
      <c r="AK175" s="241"/>
      <c r="AL175" s="32"/>
      <c r="AM175" s="32"/>
      <c r="AN175" s="32"/>
      <c r="AO175" s="32"/>
      <c r="AP175" s="32"/>
      <c r="AQ175" s="27"/>
      <c r="AR175" s="33">
        <v>27.65</v>
      </c>
      <c r="AS175" s="33"/>
      <c r="AT175" s="33"/>
      <c r="AU175" s="33"/>
      <c r="AV175" s="27"/>
      <c r="AW175" s="27"/>
      <c r="AX175" s="262" t="s">
        <v>1515</v>
      </c>
      <c r="AY175" s="262" t="s">
        <v>1516</v>
      </c>
      <c r="AZ175" s="37"/>
      <c r="BA175" s="37"/>
      <c r="BB175" s="37"/>
      <c r="BC175" s="238">
        <v>4.66</v>
      </c>
      <c r="BD175" s="238">
        <v>10.6</v>
      </c>
      <c r="BE175" s="37"/>
      <c r="BF175" s="452" t="s">
        <v>989</v>
      </c>
      <c r="BG175" s="452"/>
      <c r="BH175" s="452"/>
      <c r="BI175" s="452"/>
      <c r="BJ175" s="452"/>
      <c r="BK175" s="153">
        <v>11.125</v>
      </c>
      <c r="BL175" s="153">
        <v>5.5</v>
      </c>
      <c r="BM175" s="153">
        <v>5.5</v>
      </c>
      <c r="BN175" s="157">
        <f>(BM175*BL175*BK175)/1728</f>
        <v>0.19475188078703703</v>
      </c>
      <c r="BO175" s="228">
        <f>0.55+0.25</f>
        <v>0.8</v>
      </c>
      <c r="BP175" s="366"/>
      <c r="BQ175" s="366"/>
      <c r="BR175" s="228" t="s">
        <v>733</v>
      </c>
      <c r="BS175" s="228">
        <v>1</v>
      </c>
      <c r="BT175" s="228">
        <v>48</v>
      </c>
      <c r="BU175" s="228">
        <v>4</v>
      </c>
      <c r="BV175" s="29">
        <f>BS175*BT175*BU175</f>
        <v>192</v>
      </c>
      <c r="BW175" s="29">
        <f>(BO175*BT175*BU175)+50</f>
        <v>203.60000000000002</v>
      </c>
      <c r="BX175" s="29" t="s">
        <v>890</v>
      </c>
      <c r="BY175" s="29" t="s">
        <v>735</v>
      </c>
      <c r="BZ175" s="254"/>
      <c r="CA175" s="254"/>
      <c r="CB175" s="254"/>
      <c r="CC175" s="15"/>
      <c r="CD175" s="15"/>
      <c r="CE175" s="15"/>
      <c r="CF175" s="15"/>
      <c r="CG175" s="15"/>
      <c r="CH175" s="15"/>
      <c r="CI175" s="15"/>
      <c r="CJ175" s="15"/>
    </row>
    <row r="176" spans="1:88" s="117" customFormat="1" x14ac:dyDescent="0.25">
      <c r="A176" s="256">
        <v>41883</v>
      </c>
      <c r="B176" s="256"/>
      <c r="C176" s="229" t="s">
        <v>1517</v>
      </c>
      <c r="D176" s="229" t="s">
        <v>60</v>
      </c>
      <c r="E176" s="229" t="s">
        <v>1510</v>
      </c>
      <c r="F176" s="211" t="s">
        <v>1518</v>
      </c>
      <c r="G176" s="241" t="s">
        <v>860</v>
      </c>
      <c r="H176" s="32" t="s">
        <v>1519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61"/>
      <c r="V176" s="261"/>
      <c r="W176" s="261"/>
      <c r="X176" s="261"/>
      <c r="Y176" s="27"/>
      <c r="Z176" s="34"/>
      <c r="AA176" s="27"/>
      <c r="AB176" s="27"/>
      <c r="AC176" s="32"/>
      <c r="AD176" s="32"/>
      <c r="AE176" s="32"/>
      <c r="AF176" s="32"/>
      <c r="AG176" s="32"/>
      <c r="AH176" s="32"/>
      <c r="AI176" s="32"/>
      <c r="AJ176" s="32"/>
      <c r="AK176" s="241"/>
      <c r="AL176" s="32"/>
      <c r="AM176" s="32"/>
      <c r="AN176" s="32"/>
      <c r="AO176" s="32"/>
      <c r="AP176" s="32"/>
      <c r="AQ176" s="27"/>
      <c r="AR176" s="33">
        <v>27.12</v>
      </c>
      <c r="AS176" s="33"/>
      <c r="AT176" s="33"/>
      <c r="AU176" s="33"/>
      <c r="AV176" s="27"/>
      <c r="AW176" s="27"/>
      <c r="AX176" s="262" t="s">
        <v>1520</v>
      </c>
      <c r="AY176" s="262" t="s">
        <v>1521</v>
      </c>
      <c r="AZ176" s="37"/>
      <c r="BA176" s="37"/>
      <c r="BB176" s="37"/>
      <c r="BC176" s="108">
        <v>4.13</v>
      </c>
      <c r="BD176" s="108">
        <v>10.75</v>
      </c>
      <c r="BE176" s="37"/>
      <c r="BF176" s="452" t="s">
        <v>989</v>
      </c>
      <c r="BG176" s="452"/>
      <c r="BH176" s="452"/>
      <c r="BI176" s="452"/>
      <c r="BJ176" s="452"/>
      <c r="BK176" s="153">
        <v>4.4939999999999998</v>
      </c>
      <c r="BL176" s="153">
        <v>4.4939999999999998</v>
      </c>
      <c r="BM176" s="153">
        <v>11.612</v>
      </c>
      <c r="BN176" s="157">
        <f>(BM176*BL176*BK176)/1728</f>
        <v>0.13571549191666665</v>
      </c>
      <c r="BO176" s="161">
        <v>3.1</v>
      </c>
      <c r="BP176" s="161"/>
      <c r="BQ176" s="161"/>
      <c r="BR176" s="116" t="s">
        <v>733</v>
      </c>
      <c r="BS176" s="29">
        <v>1</v>
      </c>
      <c r="BT176" s="29">
        <v>90</v>
      </c>
      <c r="BU176" s="29">
        <v>3</v>
      </c>
      <c r="BV176" s="29">
        <f>BS176*BT176*BU176</f>
        <v>270</v>
      </c>
      <c r="BW176" s="29">
        <f>(BO176*BT176*BU176)+50</f>
        <v>887</v>
      </c>
      <c r="BX176" s="29" t="s">
        <v>890</v>
      </c>
      <c r="BY176" s="29" t="s">
        <v>735</v>
      </c>
      <c r="BZ176" s="254"/>
      <c r="CA176" s="254"/>
      <c r="CB176" s="254"/>
      <c r="CC176" s="15"/>
      <c r="CD176" s="15"/>
      <c r="CE176" s="15"/>
      <c r="CF176" s="15"/>
      <c r="CG176" s="15"/>
      <c r="CH176" s="15"/>
      <c r="CI176" s="15"/>
      <c r="CJ176" s="15"/>
    </row>
    <row r="177" spans="1:88" s="117" customFormat="1" x14ac:dyDescent="0.25">
      <c r="A177" s="256">
        <v>41883</v>
      </c>
      <c r="B177" s="256"/>
      <c r="C177" s="229" t="s">
        <v>1522</v>
      </c>
      <c r="D177" s="229" t="s">
        <v>60</v>
      </c>
      <c r="E177" s="229" t="s">
        <v>65</v>
      </c>
      <c r="F177" s="223" t="s">
        <v>1523</v>
      </c>
      <c r="G177" s="241" t="s">
        <v>860</v>
      </c>
      <c r="H177" s="32">
        <v>3619554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61"/>
      <c r="V177" s="261"/>
      <c r="W177" s="261"/>
      <c r="X177" s="261"/>
      <c r="Y177" s="27"/>
      <c r="Z177" s="34"/>
      <c r="AA177" s="27"/>
      <c r="AB177" s="27"/>
      <c r="AC177" s="32"/>
      <c r="AD177" s="32"/>
      <c r="AE177" s="32"/>
      <c r="AF177" s="32"/>
      <c r="AG177" s="32"/>
      <c r="AH177" s="32"/>
      <c r="AI177" s="32"/>
      <c r="AJ177" s="32"/>
      <c r="AK177" s="241"/>
      <c r="AL177" s="32"/>
      <c r="AM177" s="32"/>
      <c r="AN177" s="32"/>
      <c r="AO177" s="32"/>
      <c r="AP177" s="32"/>
      <c r="AQ177" s="27"/>
      <c r="AR177" s="33">
        <v>23.25</v>
      </c>
      <c r="AS177" s="33">
        <v>0.5</v>
      </c>
      <c r="AT177" s="33">
        <v>0.55000000000000004</v>
      </c>
      <c r="AU177" s="33">
        <v>0.4</v>
      </c>
      <c r="AV177" s="27"/>
      <c r="AW177" s="27"/>
      <c r="AX177" s="262" t="s">
        <v>1524</v>
      </c>
      <c r="AY177" s="262" t="s">
        <v>1525</v>
      </c>
      <c r="AZ177" s="37"/>
      <c r="BA177" s="37"/>
      <c r="BB177" s="37"/>
      <c r="BC177" s="238">
        <v>3.46</v>
      </c>
      <c r="BD177" s="238">
        <v>6.04</v>
      </c>
      <c r="BE177" s="37"/>
      <c r="BF177" s="451" t="s">
        <v>1509</v>
      </c>
      <c r="BG177" s="451"/>
      <c r="BH177" s="451"/>
      <c r="BI177" s="451"/>
      <c r="BJ177" s="451"/>
      <c r="BK177" s="235">
        <v>10.555999999999999</v>
      </c>
      <c r="BL177" s="235">
        <v>7.181</v>
      </c>
      <c r="BM177" s="235">
        <v>8.8620000000000001</v>
      </c>
      <c r="BN177" s="157">
        <f>(BM177*BL177*BK177)/1728</f>
        <v>0.38875171309722217</v>
      </c>
      <c r="BO177" s="228">
        <v>6.4</v>
      </c>
      <c r="BP177" s="366"/>
      <c r="BQ177" s="366"/>
      <c r="BR177" s="116" t="s">
        <v>733</v>
      </c>
      <c r="BS177" s="228">
        <v>6</v>
      </c>
      <c r="BT177" s="228">
        <v>20</v>
      </c>
      <c r="BU177" s="228">
        <v>5</v>
      </c>
      <c r="BV177" s="29">
        <f>BS177*BT177*BU177</f>
        <v>600</v>
      </c>
      <c r="BW177" s="29">
        <f>(BO177*BT177*BU177)+50</f>
        <v>690</v>
      </c>
      <c r="BX177" s="29" t="s">
        <v>890</v>
      </c>
      <c r="BY177" s="29" t="s">
        <v>735</v>
      </c>
      <c r="BZ177" s="254"/>
      <c r="CA177" s="254"/>
      <c r="CB177" s="254"/>
      <c r="CC177" s="15"/>
      <c r="CD177" s="15"/>
      <c r="CE177" s="15"/>
      <c r="CF177" s="15"/>
      <c r="CG177" s="15"/>
      <c r="CH177" s="15"/>
      <c r="CI177" s="15"/>
      <c r="CJ177" s="15"/>
    </row>
    <row r="178" spans="1:88" s="117" customFormat="1" x14ac:dyDescent="0.25">
      <c r="A178" s="256">
        <v>41866</v>
      </c>
      <c r="B178" s="256"/>
      <c r="C178" s="229" t="s">
        <v>1526</v>
      </c>
      <c r="D178" s="229" t="s">
        <v>60</v>
      </c>
      <c r="E178" s="229" t="s">
        <v>65</v>
      </c>
      <c r="F178" s="211" t="s">
        <v>1527</v>
      </c>
      <c r="G178" s="32" t="s">
        <v>1528</v>
      </c>
      <c r="H178" s="32">
        <v>2864993</v>
      </c>
      <c r="I178" s="32"/>
      <c r="J178" s="32"/>
      <c r="K178" s="27"/>
      <c r="L178" s="28"/>
      <c r="M178" s="230"/>
      <c r="N178" s="230"/>
      <c r="O178" s="230"/>
      <c r="P178" s="230"/>
      <c r="Q178" s="253"/>
      <c r="R178" s="253"/>
      <c r="S178" s="253"/>
      <c r="T178" s="253"/>
      <c r="U178" s="27" t="s">
        <v>1529</v>
      </c>
      <c r="V178" s="34"/>
      <c r="W178" s="27"/>
      <c r="X178" s="34"/>
      <c r="Y178" s="27" t="s">
        <v>1530</v>
      </c>
      <c r="Z178" s="34"/>
      <c r="AA178" s="27" t="s">
        <v>1531</v>
      </c>
      <c r="AB178" s="27"/>
      <c r="AC178" s="32"/>
      <c r="AD178" s="32"/>
      <c r="AE178" s="32"/>
      <c r="AF178" s="32"/>
      <c r="AG178" s="32"/>
      <c r="AH178" s="32"/>
      <c r="AI178" s="32"/>
      <c r="AJ178" s="32"/>
      <c r="AK178" s="241"/>
      <c r="AL178" s="32"/>
      <c r="AM178" s="32"/>
      <c r="AN178" s="32"/>
      <c r="AO178" s="32"/>
      <c r="AP178" s="32"/>
      <c r="AQ178" s="27"/>
      <c r="AR178" s="33">
        <v>52.19</v>
      </c>
      <c r="AS178" s="33">
        <v>1</v>
      </c>
      <c r="AT178" s="33">
        <v>1.25</v>
      </c>
      <c r="AU178" s="33">
        <v>0.9</v>
      </c>
      <c r="AV178" s="27"/>
      <c r="AW178" s="27"/>
      <c r="AX178" s="262" t="s">
        <v>1532</v>
      </c>
      <c r="AY178" s="262" t="s">
        <v>1533</v>
      </c>
      <c r="AZ178" s="262"/>
      <c r="BA178" s="262"/>
      <c r="BB178" s="262"/>
      <c r="BC178" s="262"/>
      <c r="BD178" s="262"/>
      <c r="BE178" s="262"/>
      <c r="BF178" s="451" t="s">
        <v>1509</v>
      </c>
      <c r="BG178" s="451"/>
      <c r="BH178" s="451"/>
      <c r="BI178" s="451"/>
      <c r="BJ178" s="451"/>
      <c r="BK178" s="153">
        <v>14.87</v>
      </c>
      <c r="BL178" s="153">
        <v>10</v>
      </c>
      <c r="BM178" s="153">
        <v>10.5</v>
      </c>
      <c r="BN178" s="157">
        <f t="shared" ref="BN178:BN179" si="56">(BM178*BL178*BK178)/1728</f>
        <v>0.90355902777777775</v>
      </c>
      <c r="BO178" s="161">
        <f>4.012+0.25</f>
        <v>4.2619999999999996</v>
      </c>
      <c r="BP178" s="161"/>
      <c r="BQ178" s="161"/>
      <c r="BR178" s="116" t="s">
        <v>733</v>
      </c>
      <c r="BS178" s="29">
        <v>6</v>
      </c>
      <c r="BT178" s="29">
        <v>12</v>
      </c>
      <c r="BU178" s="29">
        <v>4</v>
      </c>
      <c r="BV178" s="29">
        <f>BS178*BT178*BU178</f>
        <v>288</v>
      </c>
      <c r="BW178" s="29">
        <f>(BO178*BT178*BU178)+50</f>
        <v>254.57599999999996</v>
      </c>
      <c r="BX178" s="29" t="s">
        <v>890</v>
      </c>
      <c r="BY178" s="29" t="s">
        <v>735</v>
      </c>
      <c r="BZ178" s="254"/>
      <c r="CA178" s="254"/>
      <c r="CB178" s="254"/>
      <c r="CC178" s="15"/>
      <c r="CD178" s="15"/>
      <c r="CE178" s="15"/>
      <c r="CF178" s="15"/>
      <c r="CG178" s="15"/>
      <c r="CH178" s="15"/>
      <c r="CI178" s="15"/>
      <c r="CJ178" s="15"/>
    </row>
    <row r="179" spans="1:88" s="117" customFormat="1" x14ac:dyDescent="0.25">
      <c r="A179" s="256">
        <v>41866</v>
      </c>
      <c r="B179" s="256"/>
      <c r="C179" s="229" t="s">
        <v>1534</v>
      </c>
      <c r="D179" s="229" t="s">
        <v>60</v>
      </c>
      <c r="E179" s="229" t="s">
        <v>65</v>
      </c>
      <c r="F179" s="211" t="s">
        <v>1535</v>
      </c>
      <c r="G179" s="32" t="s">
        <v>777</v>
      </c>
      <c r="H179" s="32" t="s">
        <v>1536</v>
      </c>
      <c r="I179" s="32" t="s">
        <v>1537</v>
      </c>
      <c r="J179" s="32" t="s">
        <v>1538</v>
      </c>
      <c r="K179" s="27"/>
      <c r="L179" s="28"/>
      <c r="M179" s="230"/>
      <c r="N179" s="230"/>
      <c r="O179" s="230"/>
      <c r="P179" s="230"/>
      <c r="Q179" s="253"/>
      <c r="R179" s="253"/>
      <c r="S179" s="253"/>
      <c r="T179" s="253"/>
      <c r="U179" s="27"/>
      <c r="V179" s="34"/>
      <c r="W179" s="27"/>
      <c r="X179" s="34"/>
      <c r="Y179" s="27"/>
      <c r="Z179" s="34"/>
      <c r="AA179" s="27"/>
      <c r="AB179" s="27"/>
      <c r="AC179" s="32"/>
      <c r="AD179" s="32"/>
      <c r="AE179" s="32"/>
      <c r="AF179" s="32"/>
      <c r="AG179" s="32"/>
      <c r="AH179" s="32"/>
      <c r="AI179" s="32"/>
      <c r="AJ179" s="32"/>
      <c r="AK179" s="241"/>
      <c r="AL179" s="32"/>
      <c r="AM179" s="32"/>
      <c r="AN179" s="32"/>
      <c r="AO179" s="32"/>
      <c r="AP179" s="32"/>
      <c r="AQ179" s="27"/>
      <c r="AR179" s="33">
        <v>142.44999999999999</v>
      </c>
      <c r="AS179" s="33">
        <v>1</v>
      </c>
      <c r="AT179" s="33">
        <v>1.25</v>
      </c>
      <c r="AU179" s="33">
        <v>0.9</v>
      </c>
      <c r="AV179" s="27"/>
      <c r="AW179" s="27"/>
      <c r="AX179" s="262" t="s">
        <v>1539</v>
      </c>
      <c r="AY179" s="262" t="s">
        <v>1540</v>
      </c>
      <c r="AZ179" s="262"/>
      <c r="BA179" s="262"/>
      <c r="BB179" s="262"/>
      <c r="BC179" s="262"/>
      <c r="BD179" s="262"/>
      <c r="BE179" s="262"/>
      <c r="BF179" s="452" t="s">
        <v>989</v>
      </c>
      <c r="BG179" s="452"/>
      <c r="BH179" s="452"/>
      <c r="BI179" s="452"/>
      <c r="BJ179" s="452"/>
      <c r="BK179" s="153">
        <v>6.75</v>
      </c>
      <c r="BL179" s="153">
        <v>6.25</v>
      </c>
      <c r="BM179" s="153">
        <v>12.12</v>
      </c>
      <c r="BN179" s="157">
        <f t="shared" si="56"/>
        <v>0.2958984375</v>
      </c>
      <c r="BO179" s="228">
        <v>1.65</v>
      </c>
      <c r="BP179" s="366"/>
      <c r="BQ179" s="366"/>
      <c r="BR179" s="228" t="s">
        <v>733</v>
      </c>
      <c r="BS179" s="228">
        <v>1</v>
      </c>
      <c r="BT179" s="228">
        <v>42</v>
      </c>
      <c r="BU179" s="228">
        <v>3</v>
      </c>
      <c r="BV179" s="29">
        <f t="shared" ref="BV179" si="57">BS179*BT179*BU179</f>
        <v>126</v>
      </c>
      <c r="BW179" s="29">
        <f t="shared" ref="BW179" si="58">(BO179*BT179*BU179)+50</f>
        <v>257.89999999999998</v>
      </c>
      <c r="BX179" s="29" t="s">
        <v>950</v>
      </c>
      <c r="BY179" s="29" t="s">
        <v>735</v>
      </c>
      <c r="BZ179" s="254"/>
      <c r="CA179" s="254"/>
      <c r="CB179" s="254"/>
      <c r="CC179" s="15"/>
      <c r="CD179" s="15"/>
      <c r="CE179" s="15"/>
      <c r="CF179" s="15"/>
      <c r="CG179" s="15"/>
      <c r="CH179" s="15"/>
      <c r="CI179" s="15"/>
      <c r="CJ179" s="15"/>
    </row>
    <row r="180" spans="1:88" s="117" customFormat="1" ht="45" x14ac:dyDescent="0.25">
      <c r="A180" s="256">
        <v>41852</v>
      </c>
      <c r="B180" s="256"/>
      <c r="C180" s="229" t="s">
        <v>1541</v>
      </c>
      <c r="D180" s="229" t="s">
        <v>60</v>
      </c>
      <c r="E180" s="263" t="s">
        <v>1542</v>
      </c>
      <c r="F180" s="211" t="s">
        <v>1543</v>
      </c>
      <c r="G180" s="32" t="s">
        <v>984</v>
      </c>
      <c r="H180" s="32" t="s">
        <v>1544</v>
      </c>
      <c r="I180" s="32" t="s">
        <v>984</v>
      </c>
      <c r="J180" s="32" t="s">
        <v>1545</v>
      </c>
      <c r="K180" s="27"/>
      <c r="L180" s="28"/>
      <c r="M180" s="230"/>
      <c r="N180" s="230"/>
      <c r="O180" s="230"/>
      <c r="P180" s="230"/>
      <c r="Q180" s="230"/>
      <c r="R180" s="230"/>
      <c r="S180" s="230"/>
      <c r="T180" s="230"/>
      <c r="U180" s="27" t="s">
        <v>1546</v>
      </c>
      <c r="V180" s="34"/>
      <c r="W180" s="27"/>
      <c r="X180" s="34"/>
      <c r="Y180" s="27" t="s">
        <v>1547</v>
      </c>
      <c r="Z180" s="34"/>
      <c r="AA180" s="27" t="s">
        <v>1548</v>
      </c>
      <c r="AB180" s="27"/>
      <c r="AC180" s="32"/>
      <c r="AD180" s="32"/>
      <c r="AE180" s="32"/>
      <c r="AF180" s="32"/>
      <c r="AG180" s="32"/>
      <c r="AH180" s="32"/>
      <c r="AI180" s="32"/>
      <c r="AJ180" s="32"/>
      <c r="AK180" s="241"/>
      <c r="AL180" s="32"/>
      <c r="AM180" s="32"/>
      <c r="AN180" s="32"/>
      <c r="AO180" s="32"/>
      <c r="AP180" s="32"/>
      <c r="AQ180" s="27">
        <v>49096</v>
      </c>
      <c r="AR180" s="33">
        <v>36.79</v>
      </c>
      <c r="AS180" s="33"/>
      <c r="AT180" s="33">
        <v>0.55000000000000004</v>
      </c>
      <c r="AU180" s="33">
        <v>0.4</v>
      </c>
      <c r="AV180" s="27"/>
      <c r="AW180" s="27"/>
      <c r="AX180" s="155" t="s">
        <v>1549</v>
      </c>
      <c r="AY180" s="264">
        <v>10038568738407</v>
      </c>
      <c r="AZ180" s="264"/>
      <c r="BA180" s="264"/>
      <c r="BB180" s="264"/>
      <c r="BC180" s="264"/>
      <c r="BD180" s="264"/>
      <c r="BE180" s="264"/>
      <c r="BF180" s="228" t="s">
        <v>1158</v>
      </c>
      <c r="BG180" s="228" t="s">
        <v>1158</v>
      </c>
      <c r="BH180" s="228" t="s">
        <v>1158</v>
      </c>
      <c r="BI180" s="157" t="s">
        <v>1550</v>
      </c>
      <c r="BJ180" s="228" t="s">
        <v>1551</v>
      </c>
      <c r="BK180" s="153">
        <v>24</v>
      </c>
      <c r="BL180" s="153">
        <v>5.5</v>
      </c>
      <c r="BM180" s="153">
        <v>3.5</v>
      </c>
      <c r="BN180" s="157" t="s">
        <v>1550</v>
      </c>
      <c r="BO180" s="228" t="s">
        <v>1551</v>
      </c>
      <c r="BP180" s="366"/>
      <c r="BQ180" s="366"/>
      <c r="BR180" s="116" t="s">
        <v>733</v>
      </c>
      <c r="BS180" s="29">
        <v>1</v>
      </c>
      <c r="BT180" s="29">
        <v>14</v>
      </c>
      <c r="BU180" s="29">
        <v>12</v>
      </c>
      <c r="BV180" s="29">
        <v>168</v>
      </c>
      <c r="BW180" s="29" t="s">
        <v>1552</v>
      </c>
      <c r="BX180" s="29" t="s">
        <v>1553</v>
      </c>
      <c r="BY180" s="29" t="s">
        <v>735</v>
      </c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</row>
    <row r="181" spans="1:88" s="117" customFormat="1" ht="45" x14ac:dyDescent="0.25">
      <c r="A181" s="256">
        <v>41852</v>
      </c>
      <c r="B181" s="256"/>
      <c r="C181" s="229" t="s">
        <v>1554</v>
      </c>
      <c r="D181" s="229" t="s">
        <v>60</v>
      </c>
      <c r="E181" s="229" t="s">
        <v>1466</v>
      </c>
      <c r="F181" s="211" t="s">
        <v>1555</v>
      </c>
      <c r="G181" s="32" t="s">
        <v>851</v>
      </c>
      <c r="H181" s="32" t="s">
        <v>1556</v>
      </c>
      <c r="I181" s="32"/>
      <c r="J181" s="32"/>
      <c r="K181" s="27"/>
      <c r="L181" s="28"/>
      <c r="M181" s="230"/>
      <c r="N181" s="230"/>
      <c r="O181" s="230"/>
      <c r="P181" s="230"/>
      <c r="Q181" s="230"/>
      <c r="R181" s="230"/>
      <c r="S181" s="230"/>
      <c r="T181" s="230"/>
      <c r="U181" s="27" t="s">
        <v>1557</v>
      </c>
      <c r="V181" s="34"/>
      <c r="W181" s="27"/>
      <c r="X181" s="34"/>
      <c r="Y181" s="27" t="s">
        <v>1558</v>
      </c>
      <c r="Z181" s="34"/>
      <c r="AA181" s="27" t="s">
        <v>1559</v>
      </c>
      <c r="AB181" s="27"/>
      <c r="AC181" s="32"/>
      <c r="AD181" s="32"/>
      <c r="AE181" s="32"/>
      <c r="AF181" s="32"/>
      <c r="AG181" s="32"/>
      <c r="AH181" s="32"/>
      <c r="AI181" s="32"/>
      <c r="AJ181" s="32"/>
      <c r="AK181" s="241"/>
      <c r="AL181" s="32"/>
      <c r="AM181" s="32"/>
      <c r="AN181" s="32"/>
      <c r="AO181" s="32"/>
      <c r="AP181" s="32"/>
      <c r="AQ181" s="27"/>
      <c r="AR181" s="33">
        <v>41.45</v>
      </c>
      <c r="AS181" s="33">
        <v>0.5</v>
      </c>
      <c r="AT181" s="33">
        <v>0.55000000000000004</v>
      </c>
      <c r="AU181" s="33">
        <v>0.4</v>
      </c>
      <c r="AV181" s="27"/>
      <c r="AW181" s="27"/>
      <c r="AX181" s="155" t="s">
        <v>1560</v>
      </c>
      <c r="AY181" s="264">
        <v>10038568738452</v>
      </c>
      <c r="AZ181" s="264"/>
      <c r="BA181" s="264"/>
      <c r="BB181" s="264"/>
      <c r="BC181" s="264"/>
      <c r="BD181" s="264"/>
      <c r="BE181" s="264"/>
      <c r="BF181" s="228" t="s">
        <v>1158</v>
      </c>
      <c r="BG181" s="228" t="s">
        <v>1158</v>
      </c>
      <c r="BH181" s="228" t="s">
        <v>1158</v>
      </c>
      <c r="BI181" s="157" t="s">
        <v>1561</v>
      </c>
      <c r="BJ181" s="228" t="s">
        <v>1562</v>
      </c>
      <c r="BK181" s="153">
        <v>3</v>
      </c>
      <c r="BL181" s="153">
        <v>3</v>
      </c>
      <c r="BM181" s="153">
        <v>5.5</v>
      </c>
      <c r="BN181" s="157" t="s">
        <v>1561</v>
      </c>
      <c r="BO181" s="228" t="s">
        <v>1562</v>
      </c>
      <c r="BP181" s="366"/>
      <c r="BQ181" s="366"/>
      <c r="BR181" s="116" t="s">
        <v>733</v>
      </c>
      <c r="BS181" s="228">
        <v>1</v>
      </c>
      <c r="BT181" s="228">
        <v>40</v>
      </c>
      <c r="BU181" s="228">
        <v>11</v>
      </c>
      <c r="BV181" s="29">
        <v>440</v>
      </c>
      <c r="BW181" s="29" t="s">
        <v>1563</v>
      </c>
      <c r="BX181" s="29" t="s">
        <v>1564</v>
      </c>
      <c r="BY181" s="29" t="s">
        <v>735</v>
      </c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</row>
    <row r="182" spans="1:88" s="117" customFormat="1" x14ac:dyDescent="0.25">
      <c r="A182" s="256">
        <v>41835</v>
      </c>
      <c r="B182" s="256"/>
      <c r="C182" s="229">
        <v>1152</v>
      </c>
      <c r="D182" s="229" t="s">
        <v>60</v>
      </c>
      <c r="E182" s="33" t="s">
        <v>1565</v>
      </c>
      <c r="F182" s="265" t="s">
        <v>1566</v>
      </c>
      <c r="G182" s="32"/>
      <c r="H182" s="32"/>
      <c r="I182" s="32"/>
      <c r="J182" s="32"/>
      <c r="K182" s="27"/>
      <c r="L182" s="28"/>
      <c r="M182" s="230"/>
      <c r="N182" s="230"/>
      <c r="O182" s="230"/>
      <c r="P182" s="230"/>
      <c r="Q182" s="230"/>
      <c r="R182" s="230"/>
      <c r="S182" s="230"/>
      <c r="T182" s="230"/>
      <c r="U182" s="27"/>
      <c r="V182" s="34"/>
      <c r="W182" s="27"/>
      <c r="X182" s="34"/>
      <c r="Y182" s="27"/>
      <c r="Z182" s="34"/>
      <c r="AA182" s="27"/>
      <c r="AB182" s="27"/>
      <c r="AC182" s="32"/>
      <c r="AD182" s="32"/>
      <c r="AE182" s="32"/>
      <c r="AF182" s="32"/>
      <c r="AG182" s="32"/>
      <c r="AH182" s="32"/>
      <c r="AI182" s="32"/>
      <c r="AJ182" s="32"/>
      <c r="AK182" s="241"/>
      <c r="AL182" s="32"/>
      <c r="AM182" s="32"/>
      <c r="AN182" s="32"/>
      <c r="AO182" s="32"/>
      <c r="AP182" s="32"/>
      <c r="AQ182" s="27"/>
      <c r="AR182" s="33">
        <v>2.72</v>
      </c>
      <c r="AS182" s="33"/>
      <c r="AT182" s="33"/>
      <c r="AU182" s="33"/>
      <c r="AV182" s="27"/>
      <c r="AW182" s="27"/>
      <c r="AX182" s="155"/>
      <c r="AY182" s="264"/>
      <c r="AZ182" s="264"/>
      <c r="BA182" s="264"/>
      <c r="BB182" s="264"/>
      <c r="BC182" s="264"/>
      <c r="BD182" s="264"/>
      <c r="BE182" s="264"/>
      <c r="BF182" s="228"/>
      <c r="BG182" s="228"/>
      <c r="BH182" s="228"/>
      <c r="BI182" s="157"/>
      <c r="BJ182" s="228"/>
      <c r="BK182" s="153"/>
      <c r="BL182" s="153"/>
      <c r="BM182" s="153"/>
      <c r="BN182" s="157"/>
      <c r="BO182" s="228"/>
      <c r="BP182" s="366"/>
      <c r="BQ182" s="366"/>
      <c r="BR182" s="116"/>
      <c r="BS182" s="228"/>
      <c r="BT182" s="228"/>
      <c r="BU182" s="228"/>
      <c r="BV182" s="29"/>
      <c r="BW182" s="29"/>
      <c r="BX182" s="29"/>
      <c r="BY182" s="29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</row>
    <row r="183" spans="1:88" s="117" customFormat="1" ht="30" x14ac:dyDescent="0.25">
      <c r="A183" s="256">
        <v>41835</v>
      </c>
      <c r="B183" s="256"/>
      <c r="C183" s="229" t="s">
        <v>1567</v>
      </c>
      <c r="D183" s="229" t="s">
        <v>60</v>
      </c>
      <c r="E183" s="229" t="s">
        <v>1510</v>
      </c>
      <c r="F183" s="211" t="s">
        <v>1568</v>
      </c>
      <c r="G183" s="32" t="s">
        <v>1307</v>
      </c>
      <c r="H183" s="32" t="s">
        <v>1569</v>
      </c>
      <c r="I183" s="32" t="s">
        <v>1307</v>
      </c>
      <c r="J183" s="32" t="s">
        <v>1570</v>
      </c>
      <c r="K183" s="27"/>
      <c r="L183" s="28"/>
      <c r="M183" s="230"/>
      <c r="N183" s="230"/>
      <c r="O183" s="230"/>
      <c r="P183" s="230"/>
      <c r="Q183" s="230"/>
      <c r="R183" s="230"/>
      <c r="S183" s="230"/>
      <c r="T183" s="230"/>
      <c r="U183" s="27" t="s">
        <v>1571</v>
      </c>
      <c r="V183" s="34"/>
      <c r="W183" s="27"/>
      <c r="X183" s="34"/>
      <c r="Y183" s="27" t="s">
        <v>1572</v>
      </c>
      <c r="Z183" s="34"/>
      <c r="AA183" s="27" t="s">
        <v>1573</v>
      </c>
      <c r="AB183" s="27" t="s">
        <v>1574</v>
      </c>
      <c r="AC183" s="32"/>
      <c r="AD183" s="32"/>
      <c r="AE183" s="32"/>
      <c r="AF183" s="32"/>
      <c r="AG183" s="32"/>
      <c r="AH183" s="32"/>
      <c r="AI183" s="32"/>
      <c r="AJ183" s="32"/>
      <c r="AK183" s="241"/>
      <c r="AL183" s="32"/>
      <c r="AM183" s="32"/>
      <c r="AN183" s="32"/>
      <c r="AO183" s="32"/>
      <c r="AP183" s="32"/>
      <c r="AQ183" s="27" t="s">
        <v>1575</v>
      </c>
      <c r="AR183" s="33">
        <v>40.659999999999997</v>
      </c>
      <c r="AS183" s="27"/>
      <c r="AT183" s="27"/>
      <c r="AU183" s="27"/>
      <c r="AV183" s="27"/>
      <c r="AW183" s="27"/>
      <c r="AX183" s="262" t="s">
        <v>1576</v>
      </c>
      <c r="AY183" s="262" t="s">
        <v>1577</v>
      </c>
      <c r="AZ183" s="262"/>
      <c r="BA183" s="262"/>
      <c r="BB183" s="262"/>
      <c r="BC183" s="262"/>
      <c r="BD183" s="262"/>
      <c r="BE183" s="262"/>
      <c r="BF183" s="452" t="s">
        <v>989</v>
      </c>
      <c r="BG183" s="452"/>
      <c r="BH183" s="452"/>
      <c r="BI183" s="452"/>
      <c r="BJ183" s="452"/>
      <c r="BK183" s="153">
        <v>11.4</v>
      </c>
      <c r="BL183" s="153">
        <v>10.37</v>
      </c>
      <c r="BM183" s="153">
        <v>10.62</v>
      </c>
      <c r="BN183" s="157">
        <f t="shared" ref="BN183:BN209" si="59">(BM183*BL183*BK183)/1728</f>
        <v>0.72654812499999999</v>
      </c>
      <c r="BO183" s="153">
        <f>3.94+0.25</f>
        <v>4.1899999999999995</v>
      </c>
      <c r="BP183" s="360"/>
      <c r="BQ183" s="360"/>
      <c r="BR183" s="116" t="s">
        <v>733</v>
      </c>
      <c r="BS183" s="29">
        <v>1</v>
      </c>
      <c r="BT183" s="29">
        <v>12</v>
      </c>
      <c r="BU183" s="29">
        <v>3</v>
      </c>
      <c r="BV183" s="29">
        <f t="shared" ref="BV183:BV201" si="60">BS183*BT183*BU183</f>
        <v>36</v>
      </c>
      <c r="BW183" s="29">
        <f t="shared" ref="BW183:BW193" si="61">(BO183*BT183*BU183)+50</f>
        <v>200.83999999999997</v>
      </c>
      <c r="BX183" s="29" t="s">
        <v>890</v>
      </c>
      <c r="BY183" s="29" t="s">
        <v>735</v>
      </c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</row>
    <row r="184" spans="1:88" s="117" customFormat="1" ht="30" x14ac:dyDescent="0.25">
      <c r="A184" s="256">
        <v>41835</v>
      </c>
      <c r="B184" s="256"/>
      <c r="C184" s="229" t="s">
        <v>1578</v>
      </c>
      <c r="D184" s="229" t="s">
        <v>60</v>
      </c>
      <c r="E184" s="229" t="s">
        <v>1510</v>
      </c>
      <c r="F184" s="211" t="s">
        <v>1579</v>
      </c>
      <c r="G184" s="32" t="s">
        <v>1364</v>
      </c>
      <c r="H184" s="32">
        <v>6001856110</v>
      </c>
      <c r="I184" s="32"/>
      <c r="J184" s="32"/>
      <c r="K184" s="27"/>
      <c r="L184" s="28"/>
      <c r="M184" s="230"/>
      <c r="N184" s="230"/>
      <c r="O184" s="230"/>
      <c r="P184" s="230"/>
      <c r="Q184" s="230"/>
      <c r="R184" s="230"/>
      <c r="S184" s="230"/>
      <c r="T184" s="230"/>
      <c r="U184" s="27" t="s">
        <v>1580</v>
      </c>
      <c r="V184" s="34"/>
      <c r="W184" s="27"/>
      <c r="X184" s="34"/>
      <c r="Y184" s="27" t="s">
        <v>1581</v>
      </c>
      <c r="Z184" s="34"/>
      <c r="AA184" s="27" t="s">
        <v>1582</v>
      </c>
      <c r="AB184" s="27" t="s">
        <v>1583</v>
      </c>
      <c r="AC184" s="32"/>
      <c r="AD184" s="32"/>
      <c r="AE184" s="32"/>
      <c r="AF184" s="32"/>
      <c r="AG184" s="32"/>
      <c r="AH184" s="32"/>
      <c r="AI184" s="32"/>
      <c r="AJ184" s="32"/>
      <c r="AK184" s="241"/>
      <c r="AL184" s="32"/>
      <c r="AM184" s="32"/>
      <c r="AN184" s="32"/>
      <c r="AO184" s="32"/>
      <c r="AP184" s="32"/>
      <c r="AQ184" s="27" t="s">
        <v>1584</v>
      </c>
      <c r="AR184" s="33">
        <v>84.13</v>
      </c>
      <c r="AS184" s="27"/>
      <c r="AT184" s="27"/>
      <c r="AU184" s="27"/>
      <c r="AV184" s="27"/>
      <c r="AW184" s="27"/>
      <c r="AX184" s="262" t="s">
        <v>1576</v>
      </c>
      <c r="AY184" s="262" t="s">
        <v>1577</v>
      </c>
      <c r="AZ184" s="262"/>
      <c r="BA184" s="262"/>
      <c r="BB184" s="262"/>
      <c r="BC184" s="262"/>
      <c r="BD184" s="262"/>
      <c r="BE184" s="262"/>
      <c r="BF184" s="452" t="s">
        <v>989</v>
      </c>
      <c r="BG184" s="452"/>
      <c r="BH184" s="452"/>
      <c r="BI184" s="452"/>
      <c r="BJ184" s="452"/>
      <c r="BK184" s="153">
        <v>21.306000000000001</v>
      </c>
      <c r="BL184" s="153">
        <v>13.366</v>
      </c>
      <c r="BM184" s="153">
        <v>13.672000000000001</v>
      </c>
      <c r="BN184" s="157">
        <f t="shared" si="59"/>
        <v>2.2531582276111113</v>
      </c>
      <c r="BO184" s="153">
        <v>8.85</v>
      </c>
      <c r="BP184" s="360"/>
      <c r="BQ184" s="360"/>
      <c r="BR184" s="116" t="s">
        <v>733</v>
      </c>
      <c r="BS184" s="29">
        <v>1</v>
      </c>
      <c r="BT184" s="29">
        <v>9</v>
      </c>
      <c r="BU184" s="29">
        <v>2</v>
      </c>
      <c r="BV184" s="29">
        <f t="shared" si="60"/>
        <v>18</v>
      </c>
      <c r="BW184" s="29">
        <f t="shared" si="61"/>
        <v>209.29999999999998</v>
      </c>
      <c r="BX184" s="29" t="s">
        <v>890</v>
      </c>
      <c r="BY184" s="29" t="s">
        <v>735</v>
      </c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</row>
    <row r="185" spans="1:88" s="117" customFormat="1" x14ac:dyDescent="0.25">
      <c r="A185" s="256">
        <v>41835</v>
      </c>
      <c r="B185" s="256"/>
      <c r="C185" s="32" t="s">
        <v>1585</v>
      </c>
      <c r="D185" s="161" t="s">
        <v>60</v>
      </c>
      <c r="E185" s="229" t="s">
        <v>1586</v>
      </c>
      <c r="F185" s="252" t="s">
        <v>1587</v>
      </c>
      <c r="G185" s="32" t="s">
        <v>1588</v>
      </c>
      <c r="H185" s="32" t="s">
        <v>1589</v>
      </c>
      <c r="I185" s="32"/>
      <c r="J185" s="32"/>
      <c r="K185" s="27"/>
      <c r="L185" s="28"/>
      <c r="M185" s="230"/>
      <c r="N185" s="230"/>
      <c r="O185" s="230"/>
      <c r="P185" s="230"/>
      <c r="Q185" s="230"/>
      <c r="R185" s="230"/>
      <c r="S185" s="230"/>
      <c r="T185" s="230"/>
      <c r="U185" s="27" t="s">
        <v>1590</v>
      </c>
      <c r="V185" s="34"/>
      <c r="W185" s="27"/>
      <c r="X185" s="34"/>
      <c r="Y185" s="27" t="s">
        <v>1591</v>
      </c>
      <c r="Z185" s="34"/>
      <c r="AA185" s="27" t="s">
        <v>1592</v>
      </c>
      <c r="AB185" s="211"/>
      <c r="AC185" s="32"/>
      <c r="AD185" s="32"/>
      <c r="AE185" s="32"/>
      <c r="AF185" s="32"/>
      <c r="AG185" s="32"/>
      <c r="AH185" s="32"/>
      <c r="AI185" s="32"/>
      <c r="AJ185" s="32"/>
      <c r="AK185" s="241"/>
      <c r="AL185" s="32"/>
      <c r="AM185" s="32"/>
      <c r="AN185" s="32"/>
      <c r="AO185" s="32"/>
      <c r="AP185" s="32"/>
      <c r="AQ185" s="27" t="s">
        <v>1593</v>
      </c>
      <c r="AR185" s="33">
        <v>37.57</v>
      </c>
      <c r="AS185" s="27"/>
      <c r="AT185" s="27"/>
      <c r="AU185" s="27"/>
      <c r="AV185" s="27"/>
      <c r="AW185" s="27"/>
      <c r="AX185" s="262" t="s">
        <v>1594</v>
      </c>
      <c r="AY185" s="262" t="s">
        <v>1595</v>
      </c>
      <c r="AZ185" s="262"/>
      <c r="BA185" s="262"/>
      <c r="BB185" s="262"/>
      <c r="BC185" s="262"/>
      <c r="BD185" s="262"/>
      <c r="BE185" s="262"/>
      <c r="BF185" s="452" t="s">
        <v>989</v>
      </c>
      <c r="BG185" s="452"/>
      <c r="BH185" s="452"/>
      <c r="BI185" s="452"/>
      <c r="BJ185" s="452"/>
      <c r="BK185" s="153">
        <v>2.625</v>
      </c>
      <c r="BL185" s="153">
        <v>2.625</v>
      </c>
      <c r="BM185" s="153">
        <v>10.875</v>
      </c>
      <c r="BN185" s="157">
        <f t="shared" si="59"/>
        <v>4.3365478515625E-2</v>
      </c>
      <c r="BO185" s="153">
        <f>0.3+0.25</f>
        <v>0.55000000000000004</v>
      </c>
      <c r="BP185" s="360"/>
      <c r="BQ185" s="360"/>
      <c r="BR185" s="116" t="s">
        <v>733</v>
      </c>
      <c r="BS185" s="29">
        <v>1</v>
      </c>
      <c r="BT185" s="29">
        <v>40</v>
      </c>
      <c r="BU185" s="29">
        <v>18</v>
      </c>
      <c r="BV185" s="29">
        <f t="shared" si="60"/>
        <v>720</v>
      </c>
      <c r="BW185" s="29">
        <f t="shared" si="61"/>
        <v>446</v>
      </c>
      <c r="BX185" s="29" t="s">
        <v>1160</v>
      </c>
      <c r="BY185" s="29" t="s">
        <v>735</v>
      </c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</row>
    <row r="186" spans="1:88" s="117" customFormat="1" ht="30" x14ac:dyDescent="0.25">
      <c r="A186" s="256">
        <v>41835</v>
      </c>
      <c r="B186" s="256"/>
      <c r="C186" s="266" t="s">
        <v>1596</v>
      </c>
      <c r="D186" s="161" t="s">
        <v>60</v>
      </c>
      <c r="E186" s="229" t="s">
        <v>697</v>
      </c>
      <c r="F186" s="252" t="s">
        <v>1597</v>
      </c>
      <c r="G186" s="32" t="s">
        <v>984</v>
      </c>
      <c r="H186" s="32" t="s">
        <v>1598</v>
      </c>
      <c r="I186" s="32"/>
      <c r="J186" s="32"/>
      <c r="K186" s="27"/>
      <c r="L186" s="28"/>
      <c r="M186" s="230"/>
      <c r="N186" s="230"/>
      <c r="O186" s="230"/>
      <c r="P186" s="230"/>
      <c r="Q186" s="230"/>
      <c r="R186" s="230"/>
      <c r="S186" s="230"/>
      <c r="T186" s="230"/>
      <c r="U186" s="27" t="s">
        <v>1599</v>
      </c>
      <c r="V186" s="34"/>
      <c r="W186" s="27"/>
      <c r="X186" s="34"/>
      <c r="Y186" s="27" t="s">
        <v>1600</v>
      </c>
      <c r="Z186" s="34"/>
      <c r="AA186" s="27"/>
      <c r="AB186" s="211"/>
      <c r="AC186" s="32"/>
      <c r="AD186" s="32"/>
      <c r="AE186" s="32"/>
      <c r="AF186" s="32"/>
      <c r="AG186" s="32"/>
      <c r="AH186" s="32"/>
      <c r="AI186" s="32"/>
      <c r="AJ186" s="32"/>
      <c r="AK186" s="241"/>
      <c r="AL186" s="32"/>
      <c r="AM186" s="32"/>
      <c r="AN186" s="32"/>
      <c r="AO186" s="32"/>
      <c r="AP186" s="32"/>
      <c r="AQ186" s="27" t="s">
        <v>1601</v>
      </c>
      <c r="AR186" s="33">
        <v>113.61</v>
      </c>
      <c r="AS186" s="27"/>
      <c r="AT186" s="27"/>
      <c r="AU186" s="27"/>
      <c r="AV186" s="27"/>
      <c r="AW186" s="27"/>
      <c r="AX186" s="262" t="s">
        <v>1602</v>
      </c>
      <c r="AY186" s="262" t="s">
        <v>1603</v>
      </c>
      <c r="AZ186" s="262"/>
      <c r="BA186" s="262"/>
      <c r="BB186" s="262"/>
      <c r="BC186" s="262"/>
      <c r="BD186" s="262"/>
      <c r="BE186" s="262"/>
      <c r="BF186" s="452" t="s">
        <v>989</v>
      </c>
      <c r="BG186" s="452"/>
      <c r="BH186" s="452"/>
      <c r="BI186" s="452"/>
      <c r="BJ186" s="452"/>
      <c r="BK186" s="153">
        <v>13.180999999999999</v>
      </c>
      <c r="BL186" s="153">
        <v>13.180999999999999</v>
      </c>
      <c r="BM186" s="153">
        <v>25.486999999999998</v>
      </c>
      <c r="BN186" s="157">
        <f t="shared" si="59"/>
        <v>2.5625461814855317</v>
      </c>
      <c r="BO186" s="153">
        <f>1.75+0.25</f>
        <v>2</v>
      </c>
      <c r="BP186" s="360"/>
      <c r="BQ186" s="360"/>
      <c r="BR186" s="116" t="s">
        <v>733</v>
      </c>
      <c r="BS186" s="29">
        <v>1</v>
      </c>
      <c r="BT186" s="29">
        <v>9</v>
      </c>
      <c r="BU186" s="29">
        <v>1</v>
      </c>
      <c r="BV186" s="29">
        <f t="shared" si="60"/>
        <v>9</v>
      </c>
      <c r="BW186" s="29">
        <f t="shared" si="61"/>
        <v>68</v>
      </c>
      <c r="BX186" s="29" t="s">
        <v>890</v>
      </c>
      <c r="BY186" s="29" t="s">
        <v>735</v>
      </c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</row>
    <row r="187" spans="1:88" s="117" customFormat="1" ht="30" x14ac:dyDescent="0.25">
      <c r="A187" s="256">
        <v>41835</v>
      </c>
      <c r="B187" s="256"/>
      <c r="C187" s="266" t="s">
        <v>1604</v>
      </c>
      <c r="D187" s="161" t="s">
        <v>60</v>
      </c>
      <c r="E187" s="229" t="s">
        <v>698</v>
      </c>
      <c r="F187" s="252" t="s">
        <v>1605</v>
      </c>
      <c r="G187" s="32" t="s">
        <v>1148</v>
      </c>
      <c r="H187" s="32" t="s">
        <v>1606</v>
      </c>
      <c r="I187" s="32"/>
      <c r="J187" s="32"/>
      <c r="K187" s="27"/>
      <c r="L187" s="28"/>
      <c r="M187" s="230"/>
      <c r="N187" s="230"/>
      <c r="O187" s="230"/>
      <c r="P187" s="230"/>
      <c r="Q187" s="230"/>
      <c r="R187" s="230"/>
      <c r="S187" s="230"/>
      <c r="T187" s="230"/>
      <c r="U187" s="27" t="s">
        <v>1607</v>
      </c>
      <c r="V187" s="34"/>
      <c r="W187" s="27"/>
      <c r="X187" s="34"/>
      <c r="Y187" s="27"/>
      <c r="Z187" s="34"/>
      <c r="AA187" s="27"/>
      <c r="AB187" s="211"/>
      <c r="AC187" s="32"/>
      <c r="AD187" s="32"/>
      <c r="AE187" s="32"/>
      <c r="AF187" s="32"/>
      <c r="AG187" s="32"/>
      <c r="AH187" s="32"/>
      <c r="AI187" s="32"/>
      <c r="AJ187" s="32"/>
      <c r="AK187" s="241"/>
      <c r="AL187" s="32"/>
      <c r="AM187" s="32"/>
      <c r="AN187" s="32"/>
      <c r="AO187" s="32"/>
      <c r="AP187" s="32"/>
      <c r="AQ187" s="27" t="s">
        <v>1608</v>
      </c>
      <c r="AR187" s="33">
        <v>17.89</v>
      </c>
      <c r="AS187" s="27"/>
      <c r="AT187" s="27"/>
      <c r="AU187" s="27"/>
      <c r="AV187" s="27"/>
      <c r="AW187" s="27"/>
      <c r="AX187" s="262" t="s">
        <v>1609</v>
      </c>
      <c r="AY187" s="262" t="s">
        <v>1610</v>
      </c>
      <c r="AZ187" s="262"/>
      <c r="BA187" s="262"/>
      <c r="BB187" s="262"/>
      <c r="BC187" s="262"/>
      <c r="BD187" s="262"/>
      <c r="BE187" s="262"/>
      <c r="BF187" s="108">
        <v>3.4224999999999999</v>
      </c>
      <c r="BG187" s="108">
        <v>3.4224999999999999</v>
      </c>
      <c r="BH187" s="108">
        <v>5.9074999999999998</v>
      </c>
      <c r="BI187" s="157">
        <f t="shared" ref="BI187" si="62">(BH187*BG187*BF187)/1728</f>
        <v>4.0044871627242476E-2</v>
      </c>
      <c r="BJ187" s="108">
        <v>0.95</v>
      </c>
      <c r="BK187" s="153">
        <v>13.055999999999999</v>
      </c>
      <c r="BL187" s="153">
        <v>9.9309999999999992</v>
      </c>
      <c r="BM187" s="153">
        <v>5.7995000000000001</v>
      </c>
      <c r="BN187" s="157">
        <f t="shared" si="59"/>
        <v>0.43516097177777774</v>
      </c>
      <c r="BO187" s="153">
        <f>BS187*BJ187+0.25</f>
        <v>11.649999999999999</v>
      </c>
      <c r="BP187" s="360"/>
      <c r="BQ187" s="360"/>
      <c r="BR187" s="116" t="s">
        <v>733</v>
      </c>
      <c r="BS187" s="29">
        <v>12</v>
      </c>
      <c r="BT187" s="29">
        <v>14</v>
      </c>
      <c r="BU187" s="29">
        <v>7</v>
      </c>
      <c r="BV187" s="29">
        <f t="shared" si="60"/>
        <v>1176</v>
      </c>
      <c r="BW187" s="29">
        <f t="shared" si="61"/>
        <v>1191.6999999999998</v>
      </c>
      <c r="BX187" s="29" t="s">
        <v>890</v>
      </c>
      <c r="BY187" s="29" t="s">
        <v>735</v>
      </c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</row>
    <row r="188" spans="1:88" s="117" customFormat="1" ht="30" x14ac:dyDescent="0.25">
      <c r="A188" s="256">
        <v>41815</v>
      </c>
      <c r="B188" s="256"/>
      <c r="C188" s="32" t="s">
        <v>1611</v>
      </c>
      <c r="D188" s="161" t="s">
        <v>60</v>
      </c>
      <c r="E188" s="267" t="s">
        <v>1612</v>
      </c>
      <c r="F188" s="47" t="s">
        <v>1613</v>
      </c>
      <c r="G188" s="32" t="s">
        <v>1614</v>
      </c>
      <c r="H188" s="32" t="s">
        <v>1615</v>
      </c>
      <c r="I188" s="32"/>
      <c r="J188" s="32"/>
      <c r="K188" s="27"/>
      <c r="L188" s="28"/>
      <c r="M188" s="253"/>
      <c r="N188" s="253"/>
      <c r="O188" s="253"/>
      <c r="P188" s="253"/>
      <c r="Q188" s="253"/>
      <c r="R188" s="253"/>
      <c r="S188" s="253"/>
      <c r="T188" s="253"/>
      <c r="U188" s="27" t="s">
        <v>1616</v>
      </c>
      <c r="V188" s="34"/>
      <c r="W188" s="27">
        <v>85435</v>
      </c>
      <c r="X188" s="34"/>
      <c r="Y188" s="27" t="s">
        <v>1617</v>
      </c>
      <c r="Z188" s="34"/>
      <c r="AA188" s="27"/>
      <c r="AB188" s="27" t="s">
        <v>1618</v>
      </c>
      <c r="AC188" s="32" t="s">
        <v>1619</v>
      </c>
      <c r="AD188" s="32"/>
      <c r="AE188" s="32"/>
      <c r="AF188" s="32"/>
      <c r="AG188" s="32"/>
      <c r="AH188" s="32"/>
      <c r="AI188" s="32"/>
      <c r="AJ188" s="32"/>
      <c r="AK188" s="241">
        <v>1435</v>
      </c>
      <c r="AL188" s="32"/>
      <c r="AM188" s="32"/>
      <c r="AN188" s="32"/>
      <c r="AO188" s="32"/>
      <c r="AP188" s="32"/>
      <c r="AQ188" s="27" t="s">
        <v>1620</v>
      </c>
      <c r="AR188" s="33">
        <v>18.190000000000001</v>
      </c>
      <c r="AS188" s="33">
        <v>0.5</v>
      </c>
      <c r="AT188" s="33">
        <v>0.55000000000000004</v>
      </c>
      <c r="AU188" s="33">
        <v>0.4</v>
      </c>
      <c r="AV188" s="27"/>
      <c r="AW188" s="27"/>
      <c r="AX188" s="224" t="s">
        <v>1621</v>
      </c>
      <c r="AY188" s="224" t="s">
        <v>1622</v>
      </c>
      <c r="AZ188" s="224"/>
      <c r="BA188" s="224"/>
      <c r="BB188" s="224"/>
      <c r="BC188" s="224"/>
      <c r="BD188" s="224"/>
      <c r="BE188" s="224"/>
      <c r="BF188" s="213">
        <v>3.4224999999999999</v>
      </c>
      <c r="BG188" s="213">
        <v>3.423</v>
      </c>
      <c r="BH188" s="213">
        <v>5.9074999999999998</v>
      </c>
      <c r="BI188" s="145">
        <f>(BH188*BG188*BF188)/1728</f>
        <v>4.0050721864149305E-2</v>
      </c>
      <c r="BJ188" s="213">
        <v>0.9</v>
      </c>
      <c r="BK188" s="213">
        <v>12.875</v>
      </c>
      <c r="BL188" s="213">
        <v>9.75</v>
      </c>
      <c r="BM188" s="213">
        <v>5.4375</v>
      </c>
      <c r="BN188" s="145">
        <f t="shared" si="59"/>
        <v>0.39500935872395831</v>
      </c>
      <c r="BO188" s="213">
        <f>BJ188*BS188+0.25</f>
        <v>11.05</v>
      </c>
      <c r="BP188" s="364"/>
      <c r="BQ188" s="364"/>
      <c r="BR188" s="268" t="s">
        <v>733</v>
      </c>
      <c r="BS188" s="215">
        <v>12</v>
      </c>
      <c r="BT188" s="215">
        <v>14</v>
      </c>
      <c r="BU188" s="215">
        <v>6</v>
      </c>
      <c r="BV188" s="215">
        <f t="shared" si="60"/>
        <v>1008</v>
      </c>
      <c r="BW188" s="215">
        <f t="shared" si="61"/>
        <v>978.2</v>
      </c>
      <c r="BX188" s="269" t="s">
        <v>890</v>
      </c>
      <c r="BY188" s="215" t="s">
        <v>735</v>
      </c>
      <c r="BZ188" s="254"/>
      <c r="CA188" s="254"/>
      <c r="CB188" s="254"/>
      <c r="CC188" s="15"/>
      <c r="CD188" s="15"/>
      <c r="CE188" s="15"/>
      <c r="CF188" s="15"/>
      <c r="CG188" s="15"/>
      <c r="CH188" s="15"/>
      <c r="CI188" s="15"/>
      <c r="CJ188" s="15"/>
    </row>
    <row r="189" spans="1:88" s="117" customFormat="1" ht="30" x14ac:dyDescent="0.25">
      <c r="A189" s="256">
        <v>41815</v>
      </c>
      <c r="B189" s="256"/>
      <c r="C189" s="216" t="s">
        <v>1623</v>
      </c>
      <c r="D189" s="161" t="s">
        <v>60</v>
      </c>
      <c r="E189" s="267" t="s">
        <v>1612</v>
      </c>
      <c r="F189" s="47" t="s">
        <v>1624</v>
      </c>
      <c r="G189" s="32" t="s">
        <v>860</v>
      </c>
      <c r="H189" s="32" t="s">
        <v>1625</v>
      </c>
      <c r="I189" s="32"/>
      <c r="J189" s="32"/>
      <c r="K189" s="27"/>
      <c r="L189" s="28"/>
      <c r="M189" s="253"/>
      <c r="N189" s="253"/>
      <c r="O189" s="253"/>
      <c r="P189" s="253"/>
      <c r="Q189" s="253"/>
      <c r="R189" s="253"/>
      <c r="S189" s="253"/>
      <c r="T189" s="253"/>
      <c r="U189" s="27" t="s">
        <v>1626</v>
      </c>
      <c r="V189" s="34"/>
      <c r="W189" s="27"/>
      <c r="X189" s="34"/>
      <c r="Y189" s="27" t="s">
        <v>1627</v>
      </c>
      <c r="Z189" s="34"/>
      <c r="AA189" s="27"/>
      <c r="AB189" s="27"/>
      <c r="AC189" s="32"/>
      <c r="AD189" s="32"/>
      <c r="AE189" s="32"/>
      <c r="AF189" s="32"/>
      <c r="AG189" s="32"/>
      <c r="AH189" s="32"/>
      <c r="AI189" s="32"/>
      <c r="AJ189" s="32"/>
      <c r="AK189" s="241"/>
      <c r="AL189" s="32"/>
      <c r="AM189" s="32"/>
      <c r="AN189" s="32"/>
      <c r="AO189" s="32"/>
      <c r="AP189" s="32"/>
      <c r="AQ189" s="27">
        <v>57163</v>
      </c>
      <c r="AR189" s="48">
        <v>87.71</v>
      </c>
      <c r="AS189" s="241"/>
      <c r="AT189" s="241"/>
      <c r="AU189" s="241"/>
      <c r="AV189" s="27"/>
      <c r="AW189" s="27"/>
      <c r="AX189" s="224" t="s">
        <v>1628</v>
      </c>
      <c r="AY189" s="224" t="s">
        <v>1629</v>
      </c>
      <c r="AZ189" s="224"/>
      <c r="BA189" s="224"/>
      <c r="BB189" s="224"/>
      <c r="BC189" s="224"/>
      <c r="BD189" s="224"/>
      <c r="BE189" s="224"/>
      <c r="BF189" s="213">
        <v>5.0270000000000001</v>
      </c>
      <c r="BG189" s="213">
        <v>5.0629999999999997</v>
      </c>
      <c r="BH189" s="213">
        <v>14.5</v>
      </c>
      <c r="BI189" s="145">
        <f t="shared" ref="BI189" si="63">(BH189*BG189*BF189)/1728</f>
        <v>0.21357040769675925</v>
      </c>
      <c r="BJ189" s="213">
        <v>5.2</v>
      </c>
      <c r="BK189" s="213">
        <v>16.493500000000001</v>
      </c>
      <c r="BL189" s="213">
        <v>11.118499999999999</v>
      </c>
      <c r="BM189" s="213">
        <v>15.612</v>
      </c>
      <c r="BN189" s="145">
        <f t="shared" si="59"/>
        <v>1.6568142823246528</v>
      </c>
      <c r="BO189" s="213">
        <f>BS189*BJ189+0.25</f>
        <v>31.450000000000003</v>
      </c>
      <c r="BP189" s="364"/>
      <c r="BQ189" s="364"/>
      <c r="BR189" s="268" t="s">
        <v>733</v>
      </c>
      <c r="BS189" s="215">
        <v>6</v>
      </c>
      <c r="BT189" s="215">
        <v>9</v>
      </c>
      <c r="BU189" s="215">
        <v>2</v>
      </c>
      <c r="BV189" s="215">
        <f t="shared" si="60"/>
        <v>108</v>
      </c>
      <c r="BW189" s="215">
        <f t="shared" si="61"/>
        <v>616.1</v>
      </c>
      <c r="BX189" s="215" t="s">
        <v>890</v>
      </c>
      <c r="BY189" s="215" t="s">
        <v>735</v>
      </c>
      <c r="BZ189" s="254"/>
      <c r="CA189" s="254"/>
      <c r="CB189" s="254"/>
      <c r="CC189" s="15"/>
      <c r="CD189" s="15"/>
      <c r="CE189" s="15"/>
      <c r="CF189" s="15"/>
      <c r="CG189" s="15"/>
      <c r="CH189" s="15"/>
      <c r="CI189" s="15"/>
      <c r="CJ189" s="15"/>
    </row>
    <row r="190" spans="1:88" s="117" customFormat="1" x14ac:dyDescent="0.25">
      <c r="A190" s="256">
        <v>41815</v>
      </c>
      <c r="B190" s="256"/>
      <c r="C190" s="216" t="s">
        <v>1630</v>
      </c>
      <c r="D190" s="161" t="s">
        <v>60</v>
      </c>
      <c r="E190" s="216" t="s">
        <v>1084</v>
      </c>
      <c r="F190" s="47" t="s">
        <v>1631</v>
      </c>
      <c r="G190" s="32" t="s">
        <v>777</v>
      </c>
      <c r="H190" s="32">
        <v>4771302</v>
      </c>
      <c r="I190" s="32"/>
      <c r="J190" s="32"/>
      <c r="K190" s="27"/>
      <c r="L190" s="28"/>
      <c r="M190" s="253"/>
      <c r="N190" s="253"/>
      <c r="O190" s="253"/>
      <c r="P190" s="253"/>
      <c r="Q190" s="253"/>
      <c r="R190" s="253"/>
      <c r="S190" s="253"/>
      <c r="T190" s="253"/>
      <c r="U190" s="34" t="s">
        <v>1632</v>
      </c>
      <c r="V190" s="34"/>
      <c r="W190" s="27"/>
      <c r="X190" s="34"/>
      <c r="Y190" s="27"/>
      <c r="Z190" s="34"/>
      <c r="AA190" s="27"/>
      <c r="AB190" s="211"/>
      <c r="AC190" s="32"/>
      <c r="AD190" s="32"/>
      <c r="AE190" s="32"/>
      <c r="AF190" s="32"/>
      <c r="AG190" s="32"/>
      <c r="AH190" s="32"/>
      <c r="AI190" s="32"/>
      <c r="AJ190" s="32"/>
      <c r="AK190" s="241"/>
      <c r="AL190" s="32"/>
      <c r="AM190" s="32"/>
      <c r="AN190" s="32"/>
      <c r="AO190" s="32"/>
      <c r="AP190" s="32"/>
      <c r="AQ190" s="32">
        <v>33683</v>
      </c>
      <c r="AR190" s="33">
        <v>51.81</v>
      </c>
      <c r="AS190" s="33">
        <v>1</v>
      </c>
      <c r="AT190" s="33">
        <v>1.25</v>
      </c>
      <c r="AU190" s="33">
        <v>0.9</v>
      </c>
      <c r="AV190" s="32"/>
      <c r="AW190" s="32"/>
      <c r="AX190" s="224" t="s">
        <v>1633</v>
      </c>
      <c r="AY190" s="224" t="s">
        <v>1634</v>
      </c>
      <c r="AZ190" s="224"/>
      <c r="BA190" s="224"/>
      <c r="BB190" s="224"/>
      <c r="BC190" s="224"/>
      <c r="BD190" s="224"/>
      <c r="BE190" s="224"/>
      <c r="BF190" s="213">
        <v>4.6875</v>
      </c>
      <c r="BG190" s="213">
        <v>4.6875</v>
      </c>
      <c r="BH190" s="213">
        <v>9.5</v>
      </c>
      <c r="BI190" s="145">
        <f>(BH190*BG190*BF190)/1728</f>
        <v>0.12079874674479167</v>
      </c>
      <c r="BJ190" s="213">
        <f>2.92+0.1</f>
        <v>3.02</v>
      </c>
      <c r="BK190" s="213">
        <v>14.805999999999999</v>
      </c>
      <c r="BL190" s="213">
        <v>10.055999999999999</v>
      </c>
      <c r="BM190" s="213">
        <v>10.362</v>
      </c>
      <c r="BN190" s="145">
        <f t="shared" si="59"/>
        <v>0.89281783983333318</v>
      </c>
      <c r="BO190" s="213">
        <f>BJ190*BS190+0.25</f>
        <v>18.37</v>
      </c>
      <c r="BP190" s="364"/>
      <c r="BQ190" s="364"/>
      <c r="BR190" s="268"/>
      <c r="BS190" s="215">
        <v>6</v>
      </c>
      <c r="BT190" s="215">
        <v>12</v>
      </c>
      <c r="BU190" s="215">
        <v>4</v>
      </c>
      <c r="BV190" s="215">
        <f t="shared" si="60"/>
        <v>288</v>
      </c>
      <c r="BW190" s="215">
        <f t="shared" si="61"/>
        <v>931.76</v>
      </c>
      <c r="BX190" s="269" t="s">
        <v>743</v>
      </c>
      <c r="BY190" s="215" t="s">
        <v>735</v>
      </c>
      <c r="BZ190" s="254"/>
      <c r="CA190" s="254"/>
      <c r="CB190" s="254"/>
      <c r="CC190" s="15"/>
      <c r="CD190" s="15"/>
      <c r="CE190" s="15"/>
      <c r="CF190" s="15"/>
      <c r="CG190" s="15"/>
      <c r="CH190" s="15"/>
      <c r="CI190" s="15"/>
      <c r="CJ190" s="15"/>
    </row>
    <row r="191" spans="1:88" s="117" customFormat="1" ht="30" x14ac:dyDescent="0.25">
      <c r="A191" s="256">
        <v>41815</v>
      </c>
      <c r="B191" s="256"/>
      <c r="C191" s="216" t="s">
        <v>1635</v>
      </c>
      <c r="D191" s="161" t="s">
        <v>60</v>
      </c>
      <c r="E191" s="216" t="s">
        <v>1084</v>
      </c>
      <c r="F191" s="216" t="s">
        <v>1636</v>
      </c>
      <c r="G191" s="32" t="s">
        <v>1637</v>
      </c>
      <c r="H191" s="32">
        <v>87803182</v>
      </c>
      <c r="I191" s="32" t="s">
        <v>1528</v>
      </c>
      <c r="J191" s="32">
        <v>2830359</v>
      </c>
      <c r="K191" s="27" t="s">
        <v>790</v>
      </c>
      <c r="L191" s="28">
        <v>87803180</v>
      </c>
      <c r="M191" s="253"/>
      <c r="N191" s="253"/>
      <c r="O191" s="253"/>
      <c r="P191" s="253"/>
      <c r="Q191" s="253"/>
      <c r="R191" s="253"/>
      <c r="S191" s="253"/>
      <c r="T191" s="253"/>
      <c r="U191" s="27" t="s">
        <v>1638</v>
      </c>
      <c r="V191" s="34"/>
      <c r="W191" s="27"/>
      <c r="X191" s="34"/>
      <c r="Y191" s="27"/>
      <c r="Z191" s="34"/>
      <c r="AA191" s="27" t="s">
        <v>1639</v>
      </c>
      <c r="AB191" s="211"/>
      <c r="AC191" s="32"/>
      <c r="AD191" s="32"/>
      <c r="AE191" s="32"/>
      <c r="AF191" s="32"/>
      <c r="AG191" s="32"/>
      <c r="AH191" s="32"/>
      <c r="AI191" s="32"/>
      <c r="AJ191" s="32"/>
      <c r="AK191" s="241"/>
      <c r="AL191" s="32"/>
      <c r="AM191" s="32"/>
      <c r="AN191" s="32"/>
      <c r="AO191" s="32"/>
      <c r="AP191" s="32"/>
      <c r="AQ191" s="32"/>
      <c r="AR191" s="33">
        <v>15.35</v>
      </c>
      <c r="AS191" s="33">
        <v>0.5</v>
      </c>
      <c r="AT191" s="33">
        <v>0.55000000000000004</v>
      </c>
      <c r="AU191" s="33">
        <v>0.4</v>
      </c>
      <c r="AV191" s="32"/>
      <c r="AW191" s="32"/>
      <c r="AX191" s="270" t="s">
        <v>1640</v>
      </c>
      <c r="AY191" s="270" t="s">
        <v>1641</v>
      </c>
      <c r="AZ191" s="270"/>
      <c r="BA191" s="270"/>
      <c r="BB191" s="270"/>
      <c r="BC191" s="270"/>
      <c r="BD191" s="270"/>
      <c r="BE191" s="270"/>
      <c r="BF191" s="213">
        <v>3.875</v>
      </c>
      <c r="BG191" s="213">
        <v>3.875</v>
      </c>
      <c r="BH191" s="213">
        <v>7.25</v>
      </c>
      <c r="BI191" s="145">
        <f>(BH191*BG191*BF191)/1728</f>
        <v>6.2999584056712965E-2</v>
      </c>
      <c r="BJ191" s="213">
        <v>1.6</v>
      </c>
      <c r="BK191" s="213">
        <v>15.805999999999999</v>
      </c>
      <c r="BL191" s="213">
        <v>11.805999999999999</v>
      </c>
      <c r="BM191" s="213">
        <v>8.1120000000000001</v>
      </c>
      <c r="BN191" s="145">
        <f t="shared" si="59"/>
        <v>0.87600979122222211</v>
      </c>
      <c r="BO191" s="213">
        <f>BJ191*BS191+0.25</f>
        <v>19.450000000000003</v>
      </c>
      <c r="BP191" s="364"/>
      <c r="BQ191" s="364"/>
      <c r="BR191" s="268" t="s">
        <v>733</v>
      </c>
      <c r="BS191" s="215">
        <v>12</v>
      </c>
      <c r="BT191" s="215">
        <v>10</v>
      </c>
      <c r="BU191" s="215">
        <v>5</v>
      </c>
      <c r="BV191" s="215">
        <f t="shared" si="60"/>
        <v>600</v>
      </c>
      <c r="BW191" s="215">
        <f t="shared" si="61"/>
        <v>1022.5000000000001</v>
      </c>
      <c r="BX191" s="215" t="s">
        <v>890</v>
      </c>
      <c r="BY191" s="215" t="s">
        <v>735</v>
      </c>
      <c r="BZ191" s="254"/>
      <c r="CA191" s="254"/>
      <c r="CB191" s="254"/>
      <c r="CC191" s="15"/>
      <c r="CD191" s="15"/>
      <c r="CE191" s="15"/>
      <c r="CF191" s="15"/>
      <c r="CG191" s="15"/>
      <c r="CH191" s="15"/>
      <c r="CI191" s="15"/>
      <c r="CJ191" s="15"/>
    </row>
    <row r="192" spans="1:88" s="117" customFormat="1" ht="30" x14ac:dyDescent="0.25">
      <c r="A192" s="256">
        <v>41815</v>
      </c>
      <c r="B192" s="256"/>
      <c r="C192" s="271" t="s">
        <v>1642</v>
      </c>
      <c r="D192" s="161" t="s">
        <v>60</v>
      </c>
      <c r="E192" s="271" t="s">
        <v>1079</v>
      </c>
      <c r="F192" s="211" t="s">
        <v>1643</v>
      </c>
      <c r="G192" s="32" t="s">
        <v>984</v>
      </c>
      <c r="H192" s="32" t="s">
        <v>1644</v>
      </c>
      <c r="I192" s="32"/>
      <c r="J192" s="32"/>
      <c r="K192" s="27"/>
      <c r="L192" s="28"/>
      <c r="M192" s="253"/>
      <c r="N192" s="253"/>
      <c r="O192" s="253"/>
      <c r="P192" s="253"/>
      <c r="Q192" s="253"/>
      <c r="R192" s="253"/>
      <c r="S192" s="253"/>
      <c r="T192" s="253"/>
      <c r="U192" s="27" t="s">
        <v>1645</v>
      </c>
      <c r="V192" s="34"/>
      <c r="W192" s="27"/>
      <c r="X192" s="34"/>
      <c r="Y192" s="27"/>
      <c r="Z192" s="34"/>
      <c r="AA192" s="27" t="s">
        <v>1646</v>
      </c>
      <c r="AB192" s="211"/>
      <c r="AC192" s="32"/>
      <c r="AD192" s="32"/>
      <c r="AE192" s="32"/>
      <c r="AF192" s="32"/>
      <c r="AG192" s="32"/>
      <c r="AH192" s="32"/>
      <c r="AI192" s="32"/>
      <c r="AJ192" s="32"/>
      <c r="AK192" s="241"/>
      <c r="AL192" s="32"/>
      <c r="AM192" s="32"/>
      <c r="AN192" s="32"/>
      <c r="AO192" s="32"/>
      <c r="AP192" s="32"/>
      <c r="AQ192" s="27" t="s">
        <v>1647</v>
      </c>
      <c r="AR192" s="33">
        <v>32.56</v>
      </c>
      <c r="AS192" s="33">
        <v>1</v>
      </c>
      <c r="AT192" s="33">
        <v>1.25</v>
      </c>
      <c r="AU192" s="33">
        <v>0.9</v>
      </c>
      <c r="AV192" s="27"/>
      <c r="AW192" s="27"/>
      <c r="AX192" s="270" t="s">
        <v>1648</v>
      </c>
      <c r="AY192" s="270" t="s">
        <v>1649</v>
      </c>
      <c r="AZ192" s="270"/>
      <c r="BA192" s="270"/>
      <c r="BB192" s="270"/>
      <c r="BC192" s="270"/>
      <c r="BD192" s="270"/>
      <c r="BE192" s="270"/>
      <c r="BF192" s="213">
        <v>5.1875</v>
      </c>
      <c r="BG192" s="213">
        <v>5.1875</v>
      </c>
      <c r="BH192" s="213">
        <v>14.75</v>
      </c>
      <c r="BI192" s="145">
        <f>(BH192*BG192*BF192)/1728</f>
        <v>0.22970185456452547</v>
      </c>
      <c r="BJ192" s="213">
        <v>4.83</v>
      </c>
      <c r="BK192" s="213">
        <v>16.493500000000001</v>
      </c>
      <c r="BL192" s="213">
        <v>11.118499999999999</v>
      </c>
      <c r="BM192" s="213">
        <v>15.612</v>
      </c>
      <c r="BN192" s="145">
        <f t="shared" si="59"/>
        <v>1.6568142823246528</v>
      </c>
      <c r="BO192" s="213">
        <f>BJ192*BS192+0.4</f>
        <v>29.38</v>
      </c>
      <c r="BP192" s="364"/>
      <c r="BQ192" s="364"/>
      <c r="BR192" s="268" t="s">
        <v>733</v>
      </c>
      <c r="BS192" s="215">
        <v>6</v>
      </c>
      <c r="BT192" s="215">
        <v>9</v>
      </c>
      <c r="BU192" s="215">
        <v>2</v>
      </c>
      <c r="BV192" s="215">
        <f t="shared" si="60"/>
        <v>108</v>
      </c>
      <c r="BW192" s="215">
        <f t="shared" si="61"/>
        <v>578.84</v>
      </c>
      <c r="BX192" s="215" t="s">
        <v>890</v>
      </c>
      <c r="BY192" s="215" t="s">
        <v>735</v>
      </c>
      <c r="BZ192" s="254"/>
      <c r="CA192" s="254"/>
      <c r="CB192" s="254"/>
      <c r="CC192" s="15"/>
      <c r="CD192" s="15"/>
      <c r="CE192" s="15"/>
      <c r="CF192" s="15"/>
      <c r="CG192" s="15"/>
      <c r="CH192" s="15"/>
      <c r="CI192" s="15"/>
      <c r="CJ192" s="15"/>
    </row>
    <row r="193" spans="1:88" s="117" customFormat="1" ht="30" x14ac:dyDescent="0.25">
      <c r="A193" s="256">
        <v>41815</v>
      </c>
      <c r="B193" s="256"/>
      <c r="C193" s="216" t="s">
        <v>1650</v>
      </c>
      <c r="D193" s="32" t="s">
        <v>60</v>
      </c>
      <c r="E193" s="272" t="s">
        <v>1651</v>
      </c>
      <c r="F193" s="216" t="s">
        <v>1652</v>
      </c>
      <c r="G193" s="32" t="s">
        <v>748</v>
      </c>
      <c r="H193" s="32">
        <v>19179832</v>
      </c>
      <c r="I193" s="32" t="s">
        <v>749</v>
      </c>
      <c r="J193" s="32" t="s">
        <v>1653</v>
      </c>
      <c r="K193" s="27"/>
      <c r="L193" s="28"/>
      <c r="M193" s="35"/>
      <c r="N193" s="35"/>
      <c r="O193" s="35"/>
      <c r="P193" s="35"/>
      <c r="Q193" s="35"/>
      <c r="R193" s="35"/>
      <c r="S193" s="35"/>
      <c r="T193" s="35"/>
      <c r="U193" s="27" t="s">
        <v>1654</v>
      </c>
      <c r="V193" s="34"/>
      <c r="W193" s="27"/>
      <c r="X193" s="34"/>
      <c r="Y193" s="27"/>
      <c r="Z193" s="34"/>
      <c r="AA193" s="27"/>
      <c r="AB193" s="211"/>
      <c r="AC193" s="32"/>
      <c r="AD193" s="32"/>
      <c r="AE193" s="32"/>
      <c r="AF193" s="32"/>
      <c r="AG193" s="32"/>
      <c r="AH193" s="32"/>
      <c r="AI193" s="32"/>
      <c r="AJ193" s="32"/>
      <c r="AK193" s="241"/>
      <c r="AL193" s="32"/>
      <c r="AM193" s="32"/>
      <c r="AN193" s="32"/>
      <c r="AO193" s="32"/>
      <c r="AP193" s="32"/>
      <c r="AQ193" s="27" t="s">
        <v>1655</v>
      </c>
      <c r="AR193" s="33">
        <v>74.22</v>
      </c>
      <c r="AS193" s="33"/>
      <c r="AT193" s="33"/>
      <c r="AU193" s="33"/>
      <c r="AV193" s="27"/>
      <c r="AW193" s="27"/>
      <c r="AX193" s="270" t="s">
        <v>1656</v>
      </c>
      <c r="AY193" s="270" t="s">
        <v>1657</v>
      </c>
      <c r="AZ193" s="270"/>
      <c r="BA193" s="270"/>
      <c r="BB193" s="270"/>
      <c r="BC193" s="270"/>
      <c r="BD193" s="270"/>
      <c r="BE193" s="270"/>
      <c r="BF193" s="453" t="s">
        <v>989</v>
      </c>
      <c r="BG193" s="453"/>
      <c r="BH193" s="453"/>
      <c r="BI193" s="453"/>
      <c r="BJ193" s="453"/>
      <c r="BK193" s="213">
        <v>9.6809999999999992</v>
      </c>
      <c r="BL193" s="213">
        <v>9.6809999999999992</v>
      </c>
      <c r="BM193" s="213">
        <v>20.486999999999998</v>
      </c>
      <c r="BN193" s="145">
        <f t="shared" si="59"/>
        <v>1.1111560865781247</v>
      </c>
      <c r="BO193" s="213">
        <f>3.87+0.25</f>
        <v>4.12</v>
      </c>
      <c r="BP193" s="364"/>
      <c r="BQ193" s="364"/>
      <c r="BR193" s="268" t="s">
        <v>733</v>
      </c>
      <c r="BS193" s="215">
        <v>1</v>
      </c>
      <c r="BT193" s="215">
        <v>16</v>
      </c>
      <c r="BU193" s="215">
        <v>2</v>
      </c>
      <c r="BV193" s="215">
        <f t="shared" si="60"/>
        <v>32</v>
      </c>
      <c r="BW193" s="215">
        <f t="shared" si="61"/>
        <v>181.84</v>
      </c>
      <c r="BX193" s="215" t="s">
        <v>890</v>
      </c>
      <c r="BY193" s="215" t="s">
        <v>735</v>
      </c>
      <c r="BZ193" s="254"/>
      <c r="CA193" s="254"/>
      <c r="CB193" s="254"/>
      <c r="CC193" s="15"/>
      <c r="CD193" s="15"/>
      <c r="CE193" s="15"/>
      <c r="CF193" s="15"/>
      <c r="CG193" s="15"/>
      <c r="CH193" s="15"/>
      <c r="CI193" s="15"/>
      <c r="CJ193" s="15"/>
    </row>
    <row r="194" spans="1:88" s="117" customFormat="1" x14ac:dyDescent="0.25">
      <c r="A194" s="256">
        <v>41815</v>
      </c>
      <c r="B194" s="256"/>
      <c r="C194" s="216" t="s">
        <v>1658</v>
      </c>
      <c r="D194" s="161" t="s">
        <v>60</v>
      </c>
      <c r="E194" s="216" t="s">
        <v>1084</v>
      </c>
      <c r="F194" s="33" t="s">
        <v>1659</v>
      </c>
      <c r="G194" s="32" t="s">
        <v>1528</v>
      </c>
      <c r="H194" s="32">
        <v>3685306</v>
      </c>
      <c r="I194" s="32"/>
      <c r="J194" s="32"/>
      <c r="K194" s="27"/>
      <c r="L194" s="28"/>
      <c r="M194" s="253"/>
      <c r="N194" s="253"/>
      <c r="O194" s="253"/>
      <c r="P194" s="253"/>
      <c r="Q194" s="253"/>
      <c r="R194" s="253"/>
      <c r="S194" s="253"/>
      <c r="T194" s="253"/>
      <c r="U194" s="27" t="s">
        <v>1660</v>
      </c>
      <c r="V194" s="34"/>
      <c r="W194" s="27"/>
      <c r="X194" s="34"/>
      <c r="Y194" s="27" t="s">
        <v>1661</v>
      </c>
      <c r="Z194" s="34"/>
      <c r="AA194" s="27" t="s">
        <v>1662</v>
      </c>
      <c r="AB194" s="211"/>
      <c r="AC194" s="32"/>
      <c r="AD194" s="32"/>
      <c r="AE194" s="32"/>
      <c r="AF194" s="32"/>
      <c r="AG194" s="32"/>
      <c r="AH194" s="32"/>
      <c r="AI194" s="32"/>
      <c r="AJ194" s="32"/>
      <c r="AK194" s="241"/>
      <c r="AL194" s="32"/>
      <c r="AM194" s="32"/>
      <c r="AN194" s="32"/>
      <c r="AO194" s="32"/>
      <c r="AP194" s="32"/>
      <c r="AQ194" s="27" t="s">
        <v>1663</v>
      </c>
      <c r="AR194" s="33">
        <v>53.34</v>
      </c>
      <c r="AS194" s="33"/>
      <c r="AT194" s="33"/>
      <c r="AU194" s="33"/>
      <c r="AV194" s="27"/>
      <c r="AW194" s="27"/>
      <c r="AX194" s="224" t="s">
        <v>1664</v>
      </c>
      <c r="AY194" s="224" t="s">
        <v>1665</v>
      </c>
      <c r="AZ194" s="224"/>
      <c r="BA194" s="224"/>
      <c r="BB194" s="224"/>
      <c r="BC194" s="224"/>
      <c r="BD194" s="224"/>
      <c r="BE194" s="224"/>
      <c r="BF194" s="454" t="s">
        <v>1509</v>
      </c>
      <c r="BG194" s="454"/>
      <c r="BH194" s="454"/>
      <c r="BI194" s="454"/>
      <c r="BJ194" s="454"/>
      <c r="BK194" s="213">
        <v>15.055999999999999</v>
      </c>
      <c r="BL194" s="213">
        <v>10.305999999999999</v>
      </c>
      <c r="BM194" s="213">
        <v>13.362</v>
      </c>
      <c r="BN194" s="145">
        <f t="shared" si="59"/>
        <v>1.199851430111111</v>
      </c>
      <c r="BO194" s="213">
        <v>32.247999999999998</v>
      </c>
      <c r="BP194" s="364"/>
      <c r="BQ194" s="364"/>
      <c r="BR194" s="241" t="s">
        <v>733</v>
      </c>
      <c r="BS194" s="215">
        <v>6</v>
      </c>
      <c r="BT194" s="215">
        <v>10</v>
      </c>
      <c r="BU194" s="215">
        <v>3</v>
      </c>
      <c r="BV194" s="215">
        <f t="shared" si="60"/>
        <v>180</v>
      </c>
      <c r="BW194" s="215">
        <f>(BN194*BT194*BU194)+50</f>
        <v>85.99554290333333</v>
      </c>
      <c r="BX194" s="215" t="s">
        <v>890</v>
      </c>
      <c r="BY194" s="215" t="s">
        <v>735</v>
      </c>
      <c r="BZ194" s="254"/>
      <c r="CA194" s="254"/>
      <c r="CB194" s="254"/>
      <c r="CC194" s="15"/>
      <c r="CD194" s="15"/>
      <c r="CE194" s="15"/>
      <c r="CF194" s="15"/>
      <c r="CG194" s="15"/>
      <c r="CH194" s="15"/>
      <c r="CI194" s="15"/>
      <c r="CJ194" s="15"/>
    </row>
    <row r="195" spans="1:88" s="117" customFormat="1" ht="45" x14ac:dyDescent="0.25">
      <c r="A195" s="256">
        <v>41815</v>
      </c>
      <c r="B195" s="256"/>
      <c r="C195" s="216" t="s">
        <v>1666</v>
      </c>
      <c r="D195" s="161" t="s">
        <v>60</v>
      </c>
      <c r="E195" s="216" t="s">
        <v>1084</v>
      </c>
      <c r="F195" s="33" t="s">
        <v>1667</v>
      </c>
      <c r="G195" s="32" t="s">
        <v>1668</v>
      </c>
      <c r="H195" s="32" t="s">
        <v>1669</v>
      </c>
      <c r="I195" s="32"/>
      <c r="J195" s="32"/>
      <c r="K195" s="27"/>
      <c r="L195" s="28"/>
      <c r="M195" s="253"/>
      <c r="N195" s="253"/>
      <c r="O195" s="253"/>
      <c r="P195" s="253"/>
      <c r="Q195" s="253"/>
      <c r="R195" s="253"/>
      <c r="S195" s="253"/>
      <c r="T195" s="253"/>
      <c r="U195" s="34" t="s">
        <v>1670</v>
      </c>
      <c r="V195" s="34"/>
      <c r="W195" s="27"/>
      <c r="X195" s="34"/>
      <c r="Y195" s="27" t="s">
        <v>1671</v>
      </c>
      <c r="Z195" s="34"/>
      <c r="AA195" s="27" t="s">
        <v>1672</v>
      </c>
      <c r="AB195" s="211"/>
      <c r="AC195" s="32"/>
      <c r="AD195" s="32"/>
      <c r="AE195" s="32"/>
      <c r="AF195" s="32"/>
      <c r="AG195" s="32"/>
      <c r="AH195" s="32"/>
      <c r="AI195" s="32"/>
      <c r="AJ195" s="32"/>
      <c r="AK195" s="241"/>
      <c r="AL195" s="32"/>
      <c r="AM195" s="32"/>
      <c r="AN195" s="32"/>
      <c r="AO195" s="32"/>
      <c r="AP195" s="32"/>
      <c r="AQ195" s="32">
        <v>33822</v>
      </c>
      <c r="AR195" s="33">
        <v>51.64</v>
      </c>
      <c r="AS195" s="33">
        <v>0.5</v>
      </c>
      <c r="AT195" s="33">
        <v>0.55000000000000004</v>
      </c>
      <c r="AU195" s="33">
        <v>0.4</v>
      </c>
      <c r="AV195" s="32"/>
      <c r="AW195" s="32"/>
      <c r="AX195" s="224" t="s">
        <v>1673</v>
      </c>
      <c r="AY195" s="224" t="s">
        <v>1674</v>
      </c>
      <c r="AZ195" s="224"/>
      <c r="BA195" s="224"/>
      <c r="BB195" s="224"/>
      <c r="BC195" s="224"/>
      <c r="BD195" s="224"/>
      <c r="BE195" s="224"/>
      <c r="BF195" s="213">
        <v>4.7859999999999996</v>
      </c>
      <c r="BG195" s="213">
        <v>4.7859999999999996</v>
      </c>
      <c r="BH195" s="213">
        <v>10.692</v>
      </c>
      <c r="BI195" s="145">
        <f t="shared" ref="BI195" si="64">(BH195*BG195*BF195)/1728</f>
        <v>0.14172961274999998</v>
      </c>
      <c r="BJ195" s="213">
        <v>2.65</v>
      </c>
      <c r="BK195" s="213">
        <v>14.75</v>
      </c>
      <c r="BL195" s="213">
        <v>10</v>
      </c>
      <c r="BM195" s="213">
        <v>12.12</v>
      </c>
      <c r="BN195" s="145">
        <f t="shared" si="59"/>
        <v>1.0345486111111111</v>
      </c>
      <c r="BO195" s="213">
        <f>BS195*BJ195+0.25</f>
        <v>16.149999999999999</v>
      </c>
      <c r="BP195" s="364"/>
      <c r="BQ195" s="364"/>
      <c r="BR195" s="268" t="s">
        <v>733</v>
      </c>
      <c r="BS195" s="215">
        <v>6</v>
      </c>
      <c r="BT195" s="215">
        <v>12</v>
      </c>
      <c r="BU195" s="215">
        <v>3</v>
      </c>
      <c r="BV195" s="215">
        <f t="shared" si="60"/>
        <v>216</v>
      </c>
      <c r="BW195" s="215">
        <f t="shared" ref="BW195:BW209" si="65">(BO195*BT195*BU195)+50</f>
        <v>631.4</v>
      </c>
      <c r="BX195" s="215" t="s">
        <v>890</v>
      </c>
      <c r="BY195" s="215" t="s">
        <v>735</v>
      </c>
      <c r="BZ195" s="254"/>
      <c r="CA195" s="254"/>
      <c r="CB195" s="254"/>
      <c r="CC195" s="15"/>
      <c r="CD195" s="15"/>
      <c r="CE195" s="15"/>
      <c r="CF195" s="15"/>
      <c r="CG195" s="15"/>
      <c r="CH195" s="15"/>
      <c r="CI195" s="15"/>
      <c r="CJ195" s="15"/>
    </row>
    <row r="196" spans="1:88" s="117" customFormat="1" ht="30" x14ac:dyDescent="0.25">
      <c r="A196" s="256">
        <v>41791</v>
      </c>
      <c r="B196" s="256"/>
      <c r="C196" s="229" t="s">
        <v>1675</v>
      </c>
      <c r="D196" s="161" t="s">
        <v>60</v>
      </c>
      <c r="E196" s="273" t="s">
        <v>1676</v>
      </c>
      <c r="F196" s="229" t="s">
        <v>1677</v>
      </c>
      <c r="G196" s="240" t="s">
        <v>1148</v>
      </c>
      <c r="H196" s="240" t="s">
        <v>1678</v>
      </c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 t="s">
        <v>1679</v>
      </c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 t="s">
        <v>1680</v>
      </c>
      <c r="AR196" s="33">
        <v>44.51</v>
      </c>
      <c r="AS196" s="33"/>
      <c r="AT196" s="33"/>
      <c r="AU196" s="33"/>
      <c r="AV196" s="240"/>
      <c r="AW196" s="240"/>
      <c r="AX196" s="251" t="s">
        <v>1681</v>
      </c>
      <c r="AY196" s="251" t="s">
        <v>1682</v>
      </c>
      <c r="AZ196" s="251"/>
      <c r="BA196" s="251"/>
      <c r="BB196" s="251"/>
      <c r="BC196" s="251"/>
      <c r="BD196" s="251"/>
      <c r="BE196" s="251"/>
      <c r="BF196" s="451" t="s">
        <v>1509</v>
      </c>
      <c r="BG196" s="451"/>
      <c r="BH196" s="451"/>
      <c r="BI196" s="451"/>
      <c r="BJ196" s="451"/>
      <c r="BK196" s="153">
        <v>15.055999999999999</v>
      </c>
      <c r="BL196" s="153">
        <v>10.305999999999999</v>
      </c>
      <c r="BM196" s="153">
        <v>13.362</v>
      </c>
      <c r="BN196" s="157">
        <f t="shared" si="59"/>
        <v>1.199851430111111</v>
      </c>
      <c r="BO196" s="153">
        <f>2.4*6+0.4</f>
        <v>14.799999999999999</v>
      </c>
      <c r="BP196" s="360"/>
      <c r="BQ196" s="360"/>
      <c r="BR196" s="116"/>
      <c r="BS196" s="29">
        <v>6</v>
      </c>
      <c r="BT196" s="29">
        <v>10</v>
      </c>
      <c r="BU196" s="29">
        <v>3</v>
      </c>
      <c r="BV196" s="29">
        <f t="shared" si="60"/>
        <v>180</v>
      </c>
      <c r="BW196" s="29">
        <f t="shared" si="65"/>
        <v>494</v>
      </c>
      <c r="BX196" s="29" t="s">
        <v>890</v>
      </c>
      <c r="BY196" s="29" t="s">
        <v>735</v>
      </c>
      <c r="BZ196" s="254"/>
      <c r="CA196" s="254"/>
      <c r="CB196" s="254"/>
      <c r="CC196" s="15"/>
      <c r="CD196" s="15"/>
      <c r="CE196" s="15"/>
      <c r="CF196" s="15"/>
      <c r="CG196" s="15"/>
      <c r="CH196" s="15"/>
      <c r="CI196" s="15"/>
      <c r="CJ196" s="15"/>
    </row>
    <row r="197" spans="1:88" s="117" customFormat="1" x14ac:dyDescent="0.25">
      <c r="A197" s="256">
        <v>41791</v>
      </c>
      <c r="B197" s="256"/>
      <c r="C197" s="229" t="s">
        <v>1683</v>
      </c>
      <c r="D197" s="161" t="s">
        <v>60</v>
      </c>
      <c r="E197" s="229" t="s">
        <v>1101</v>
      </c>
      <c r="F197" s="252" t="s">
        <v>1684</v>
      </c>
      <c r="G197" s="240" t="s">
        <v>1086</v>
      </c>
      <c r="H197" s="240" t="s">
        <v>1685</v>
      </c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 t="s">
        <v>1686</v>
      </c>
      <c r="V197" s="240"/>
      <c r="W197" s="240"/>
      <c r="X197" s="240"/>
      <c r="Y197" s="240" t="s">
        <v>1687</v>
      </c>
      <c r="Z197" s="240"/>
      <c r="AA197" s="240" t="s">
        <v>1688</v>
      </c>
      <c r="AB197" s="240" t="s">
        <v>1689</v>
      </c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33">
        <v>28.19</v>
      </c>
      <c r="AS197" s="240"/>
      <c r="AT197" s="240"/>
      <c r="AU197" s="240"/>
      <c r="AV197" s="240"/>
      <c r="AW197" s="240"/>
      <c r="AX197" s="251" t="s">
        <v>1690</v>
      </c>
      <c r="AY197" s="251" t="s">
        <v>1691</v>
      </c>
      <c r="AZ197" s="251"/>
      <c r="BA197" s="251"/>
      <c r="BB197" s="251"/>
      <c r="BC197" s="251"/>
      <c r="BD197" s="251"/>
      <c r="BE197" s="251"/>
      <c r="BF197" s="452" t="s">
        <v>989</v>
      </c>
      <c r="BG197" s="452"/>
      <c r="BH197" s="452"/>
      <c r="BI197" s="452"/>
      <c r="BJ197" s="452"/>
      <c r="BK197" s="153">
        <v>6.806</v>
      </c>
      <c r="BL197" s="153">
        <v>6.806</v>
      </c>
      <c r="BM197" s="153">
        <v>6.1120000000000001</v>
      </c>
      <c r="BN197" s="157">
        <f t="shared" si="59"/>
        <v>0.16384134214814813</v>
      </c>
      <c r="BO197" s="153">
        <f>1.5+0.25</f>
        <v>1.75</v>
      </c>
      <c r="BP197" s="360"/>
      <c r="BQ197" s="360"/>
      <c r="BR197" s="116"/>
      <c r="BS197" s="29">
        <v>1</v>
      </c>
      <c r="BT197" s="29">
        <v>35</v>
      </c>
      <c r="BU197" s="29">
        <v>7</v>
      </c>
      <c r="BV197" s="29">
        <f t="shared" si="60"/>
        <v>245</v>
      </c>
      <c r="BW197" s="29">
        <f t="shared" si="65"/>
        <v>478.75</v>
      </c>
      <c r="BX197" s="29" t="s">
        <v>890</v>
      </c>
      <c r="BY197" s="29" t="s">
        <v>735</v>
      </c>
      <c r="BZ197" s="254"/>
      <c r="CA197" s="254"/>
      <c r="CB197" s="254"/>
      <c r="CC197" s="15"/>
      <c r="CD197" s="15"/>
      <c r="CE197" s="15"/>
      <c r="CF197" s="15"/>
      <c r="CG197" s="15"/>
      <c r="CH197" s="15"/>
      <c r="CI197" s="15"/>
      <c r="CJ197" s="15"/>
    </row>
    <row r="198" spans="1:88" s="117" customFormat="1" x14ac:dyDescent="0.25">
      <c r="A198" s="256">
        <v>41791</v>
      </c>
      <c r="B198" s="256"/>
      <c r="C198" s="229" t="s">
        <v>1650</v>
      </c>
      <c r="D198" s="161" t="s">
        <v>60</v>
      </c>
      <c r="E198" s="229" t="s">
        <v>1101</v>
      </c>
      <c r="F198" s="252" t="s">
        <v>1692</v>
      </c>
      <c r="G198" s="240" t="s">
        <v>748</v>
      </c>
      <c r="H198" s="240">
        <v>9179832</v>
      </c>
      <c r="I198" s="240" t="s">
        <v>749</v>
      </c>
      <c r="J198" s="240" t="s">
        <v>1653</v>
      </c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 t="s">
        <v>1654</v>
      </c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>
        <v>49832</v>
      </c>
      <c r="AR198" s="33">
        <v>74.22</v>
      </c>
      <c r="AS198" s="240"/>
      <c r="AT198" s="240"/>
      <c r="AU198" s="240"/>
      <c r="AV198" s="240"/>
      <c r="AW198" s="240"/>
      <c r="AX198" s="251" t="s">
        <v>1656</v>
      </c>
      <c r="AY198" s="251" t="s">
        <v>1657</v>
      </c>
      <c r="AZ198" s="251"/>
      <c r="BA198" s="251"/>
      <c r="BB198" s="251"/>
      <c r="BC198" s="251"/>
      <c r="BD198" s="251"/>
      <c r="BE198" s="251"/>
      <c r="BF198" s="452" t="s">
        <v>989</v>
      </c>
      <c r="BG198" s="452"/>
      <c r="BH198" s="452"/>
      <c r="BI198" s="452"/>
      <c r="BJ198" s="452"/>
      <c r="BK198" s="153">
        <v>9.6809999999999992</v>
      </c>
      <c r="BL198" s="153">
        <v>9.6809999999999992</v>
      </c>
      <c r="BM198" s="153">
        <v>20.486999999999998</v>
      </c>
      <c r="BN198" s="157">
        <f t="shared" si="59"/>
        <v>1.1111560865781247</v>
      </c>
      <c r="BO198" s="153">
        <f>3.87+0.25</f>
        <v>4.12</v>
      </c>
      <c r="BP198" s="360"/>
      <c r="BQ198" s="360"/>
      <c r="BR198" s="116" t="s">
        <v>733</v>
      </c>
      <c r="BS198" s="29">
        <v>1</v>
      </c>
      <c r="BT198" s="29">
        <v>16</v>
      </c>
      <c r="BU198" s="29">
        <v>2</v>
      </c>
      <c r="BV198" s="29">
        <f t="shared" si="60"/>
        <v>32</v>
      </c>
      <c r="BW198" s="29">
        <f t="shared" si="65"/>
        <v>181.84</v>
      </c>
      <c r="BX198" s="29" t="s">
        <v>890</v>
      </c>
      <c r="BY198" s="29" t="s">
        <v>735</v>
      </c>
      <c r="BZ198" s="254"/>
      <c r="CA198" s="254"/>
      <c r="CB198" s="254"/>
      <c r="CC198" s="15"/>
      <c r="CD198" s="15"/>
      <c r="CE198" s="15"/>
      <c r="CF198" s="15"/>
      <c r="CG198" s="15"/>
      <c r="CH198" s="15"/>
      <c r="CI198" s="15"/>
      <c r="CJ198" s="15"/>
    </row>
    <row r="199" spans="1:88" s="117" customFormat="1" x14ac:dyDescent="0.25">
      <c r="A199" s="256">
        <v>41791</v>
      </c>
      <c r="B199" s="256"/>
      <c r="C199" s="229" t="s">
        <v>1693</v>
      </c>
      <c r="D199" s="161" t="s">
        <v>60</v>
      </c>
      <c r="E199" s="229" t="s">
        <v>1101</v>
      </c>
      <c r="F199" s="229" t="s">
        <v>1694</v>
      </c>
      <c r="G199" s="240" t="s">
        <v>1148</v>
      </c>
      <c r="H199" s="240" t="s">
        <v>1695</v>
      </c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 t="s">
        <v>1696</v>
      </c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33">
        <v>168.86</v>
      </c>
      <c r="AS199" s="240"/>
      <c r="AT199" s="240"/>
      <c r="AU199" s="240"/>
      <c r="AV199" s="240"/>
      <c r="AW199" s="240"/>
      <c r="AX199" s="251" t="s">
        <v>1697</v>
      </c>
      <c r="AY199" s="251" t="s">
        <v>1698</v>
      </c>
      <c r="AZ199" s="251"/>
      <c r="BA199" s="251"/>
      <c r="BB199" s="251"/>
      <c r="BC199" s="251"/>
      <c r="BD199" s="251"/>
      <c r="BE199" s="251"/>
      <c r="BF199" s="452" t="s">
        <v>989</v>
      </c>
      <c r="BG199" s="452"/>
      <c r="BH199" s="452"/>
      <c r="BI199" s="452"/>
      <c r="BJ199" s="452"/>
      <c r="BK199" s="153">
        <v>10.99</v>
      </c>
      <c r="BL199" s="153">
        <v>10.25</v>
      </c>
      <c r="BM199" s="153">
        <v>8.57</v>
      </c>
      <c r="BN199" s="157">
        <f t="shared" si="59"/>
        <v>0.55867423321759258</v>
      </c>
      <c r="BO199" s="153">
        <f>2.84+0.25</f>
        <v>3.09</v>
      </c>
      <c r="BP199" s="360"/>
      <c r="BQ199" s="360"/>
      <c r="BR199" s="116"/>
      <c r="BS199" s="29">
        <v>1</v>
      </c>
      <c r="BT199" s="29">
        <v>6</v>
      </c>
      <c r="BU199" s="29">
        <v>6</v>
      </c>
      <c r="BV199" s="29">
        <f t="shared" si="60"/>
        <v>36</v>
      </c>
      <c r="BW199" s="29">
        <f t="shared" si="65"/>
        <v>161.24</v>
      </c>
      <c r="BX199" s="29" t="s">
        <v>890</v>
      </c>
      <c r="BY199" s="29" t="s">
        <v>735</v>
      </c>
      <c r="BZ199" s="254"/>
      <c r="CA199" s="254"/>
      <c r="CB199" s="254"/>
      <c r="CC199" s="15"/>
      <c r="CD199" s="15"/>
      <c r="CE199" s="15"/>
      <c r="CF199" s="15"/>
      <c r="CG199" s="15"/>
      <c r="CH199" s="15"/>
      <c r="CI199" s="15"/>
      <c r="CJ199" s="15"/>
    </row>
    <row r="200" spans="1:88" s="117" customFormat="1" x14ac:dyDescent="0.25">
      <c r="A200" s="256">
        <v>41791</v>
      </c>
      <c r="B200" s="256"/>
      <c r="C200" s="229" t="s">
        <v>1699</v>
      </c>
      <c r="D200" s="161" t="s">
        <v>60</v>
      </c>
      <c r="E200" s="229" t="s">
        <v>1101</v>
      </c>
      <c r="F200" s="229" t="s">
        <v>1700</v>
      </c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 t="s">
        <v>1701</v>
      </c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33">
        <v>205.05</v>
      </c>
      <c r="AS200" s="240"/>
      <c r="AT200" s="240"/>
      <c r="AU200" s="240"/>
      <c r="AV200" s="240"/>
      <c r="AW200" s="240"/>
      <c r="AX200" s="251" t="s">
        <v>1702</v>
      </c>
      <c r="AY200" s="251" t="s">
        <v>1703</v>
      </c>
      <c r="AZ200" s="251"/>
      <c r="BA200" s="251"/>
      <c r="BB200" s="251"/>
      <c r="BC200" s="251"/>
      <c r="BD200" s="251"/>
      <c r="BE200" s="251"/>
      <c r="BF200" s="452" t="s">
        <v>989</v>
      </c>
      <c r="BG200" s="452"/>
      <c r="BH200" s="452"/>
      <c r="BI200" s="452"/>
      <c r="BJ200" s="452"/>
      <c r="BK200" s="153">
        <v>15</v>
      </c>
      <c r="BL200" s="153">
        <v>15</v>
      </c>
      <c r="BM200" s="153">
        <v>10.52</v>
      </c>
      <c r="BN200" s="157">
        <f t="shared" si="59"/>
        <v>1.3697916666666663</v>
      </c>
      <c r="BO200" s="153">
        <f>5.53+0.25</f>
        <v>5.78</v>
      </c>
      <c r="BP200" s="360"/>
      <c r="BQ200" s="360"/>
      <c r="BR200" s="116"/>
      <c r="BS200" s="29">
        <v>1</v>
      </c>
      <c r="BT200" s="29">
        <v>6</v>
      </c>
      <c r="BU200" s="29">
        <v>3</v>
      </c>
      <c r="BV200" s="29">
        <f t="shared" si="60"/>
        <v>18</v>
      </c>
      <c r="BW200" s="29">
        <f t="shared" si="65"/>
        <v>154.04</v>
      </c>
      <c r="BX200" s="29" t="s">
        <v>890</v>
      </c>
      <c r="BY200" s="29" t="s">
        <v>735</v>
      </c>
      <c r="BZ200" s="274"/>
      <c r="CA200" s="254"/>
      <c r="CB200" s="254"/>
      <c r="CC200" s="15"/>
      <c r="CD200" s="15"/>
      <c r="CE200" s="15"/>
      <c r="CF200" s="15"/>
      <c r="CG200" s="15"/>
      <c r="CH200" s="15"/>
      <c r="CI200" s="15"/>
      <c r="CJ200" s="15"/>
    </row>
    <row r="201" spans="1:88" s="117" customFormat="1" ht="75" x14ac:dyDescent="0.25">
      <c r="A201" s="256">
        <v>41791</v>
      </c>
      <c r="B201" s="256"/>
      <c r="C201" s="240" t="s">
        <v>1704</v>
      </c>
      <c r="D201" s="161" t="s">
        <v>60</v>
      </c>
      <c r="E201" s="229" t="s">
        <v>1705</v>
      </c>
      <c r="F201" s="47" t="s">
        <v>1706</v>
      </c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33">
        <v>28.67</v>
      </c>
      <c r="AS201" s="240"/>
      <c r="AT201" s="240"/>
      <c r="AU201" s="240"/>
      <c r="AV201" s="240"/>
      <c r="AW201" s="240"/>
      <c r="AX201" s="251" t="s">
        <v>1707</v>
      </c>
      <c r="AY201" s="251" t="s">
        <v>1708</v>
      </c>
      <c r="AZ201" s="251"/>
      <c r="BA201" s="251"/>
      <c r="BB201" s="251"/>
      <c r="BC201" s="251"/>
      <c r="BD201" s="251"/>
      <c r="BE201" s="251"/>
      <c r="BF201" s="451" t="s">
        <v>1509</v>
      </c>
      <c r="BG201" s="451"/>
      <c r="BH201" s="451"/>
      <c r="BI201" s="451"/>
      <c r="BJ201" s="451"/>
      <c r="BK201" s="153">
        <v>20.625</v>
      </c>
      <c r="BL201" s="153">
        <v>14.625</v>
      </c>
      <c r="BM201" s="153">
        <v>5.9370000000000003</v>
      </c>
      <c r="BN201" s="157">
        <f t="shared" si="59"/>
        <v>1.036365966796875</v>
      </c>
      <c r="BO201" s="153">
        <f>1.2*BS201+0.25</f>
        <v>7.4499999999999993</v>
      </c>
      <c r="BP201" s="360"/>
      <c r="BQ201" s="360"/>
      <c r="BR201" s="116" t="s">
        <v>733</v>
      </c>
      <c r="BS201" s="29">
        <v>6</v>
      </c>
      <c r="BT201" s="29">
        <v>6</v>
      </c>
      <c r="BU201" s="29">
        <v>6</v>
      </c>
      <c r="BV201" s="29">
        <f t="shared" si="60"/>
        <v>216</v>
      </c>
      <c r="BW201" s="29">
        <f t="shared" si="65"/>
        <v>318.2</v>
      </c>
      <c r="BX201" s="29" t="s">
        <v>743</v>
      </c>
      <c r="BY201" s="29" t="s">
        <v>735</v>
      </c>
      <c r="BZ201" s="274"/>
      <c r="CA201" s="254"/>
      <c r="CB201" s="254"/>
      <c r="CC201" s="15"/>
      <c r="CD201" s="15"/>
      <c r="CE201" s="15"/>
      <c r="CF201" s="15"/>
      <c r="CG201" s="15"/>
      <c r="CH201" s="15"/>
      <c r="CI201" s="15"/>
      <c r="CJ201" s="15"/>
    </row>
    <row r="202" spans="1:88" s="117" customFormat="1" x14ac:dyDescent="0.25">
      <c r="A202" s="256">
        <v>41791</v>
      </c>
      <c r="B202" s="256"/>
      <c r="C202" s="229" t="s">
        <v>1709</v>
      </c>
      <c r="D202" s="161" t="s">
        <v>60</v>
      </c>
      <c r="E202" s="229" t="s">
        <v>1710</v>
      </c>
      <c r="F202" s="41" t="s">
        <v>1711</v>
      </c>
      <c r="G202" s="240" t="s">
        <v>1528</v>
      </c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33">
        <v>104.04</v>
      </c>
      <c r="AS202" s="240"/>
      <c r="AT202" s="240"/>
      <c r="AU202" s="240"/>
      <c r="AV202" s="240"/>
      <c r="AW202" s="240"/>
      <c r="AX202" s="251" t="s">
        <v>1712</v>
      </c>
      <c r="AY202" s="251" t="s">
        <v>1713</v>
      </c>
      <c r="AZ202" s="251"/>
      <c r="BA202" s="251"/>
      <c r="BB202" s="251"/>
      <c r="BC202" s="251"/>
      <c r="BD202" s="251"/>
      <c r="BE202" s="251"/>
      <c r="BF202" s="452" t="s">
        <v>989</v>
      </c>
      <c r="BG202" s="452"/>
      <c r="BH202" s="452"/>
      <c r="BI202" s="452"/>
      <c r="BJ202" s="452"/>
      <c r="BK202" s="153">
        <v>10.25</v>
      </c>
      <c r="BL202" s="153">
        <v>7.75</v>
      </c>
      <c r="BM202" s="153">
        <v>10.5</v>
      </c>
      <c r="BN202" s="157">
        <f t="shared" si="59"/>
        <v>0.4826931423611111</v>
      </c>
      <c r="BO202" s="153">
        <f>1.32+1.54+1.04+1.25+0.4</f>
        <v>5.5500000000000007</v>
      </c>
      <c r="BP202" s="360"/>
      <c r="BQ202" s="360"/>
      <c r="BR202" s="116" t="s">
        <v>733</v>
      </c>
      <c r="BS202" s="29">
        <v>1</v>
      </c>
      <c r="BT202" s="29">
        <v>22</v>
      </c>
      <c r="BU202" s="29">
        <v>4</v>
      </c>
      <c r="BV202" s="29">
        <f>BS202*BT202*BU202</f>
        <v>88</v>
      </c>
      <c r="BW202" s="29">
        <f t="shared" si="65"/>
        <v>538.40000000000009</v>
      </c>
      <c r="BX202" s="29" t="s">
        <v>890</v>
      </c>
      <c r="BY202" s="29" t="s">
        <v>735</v>
      </c>
      <c r="BZ202" s="274"/>
      <c r="CA202" s="254"/>
      <c r="CB202" s="254"/>
      <c r="CC202" s="15"/>
      <c r="CD202" s="15"/>
      <c r="CE202" s="15"/>
      <c r="CF202" s="15"/>
      <c r="CG202" s="15"/>
      <c r="CH202" s="15"/>
      <c r="CI202" s="15"/>
      <c r="CJ202" s="15"/>
    </row>
    <row r="203" spans="1:88" s="117" customFormat="1" ht="30" x14ac:dyDescent="0.25">
      <c r="A203" s="256">
        <v>41782</v>
      </c>
      <c r="B203" s="256"/>
      <c r="C203" s="240" t="s">
        <v>1714</v>
      </c>
      <c r="D203" s="161" t="s">
        <v>60</v>
      </c>
      <c r="E203" s="229" t="s">
        <v>1084</v>
      </c>
      <c r="F203" s="47" t="s">
        <v>1715</v>
      </c>
      <c r="G203" s="211" t="s">
        <v>1339</v>
      </c>
      <c r="H203" s="32" t="s">
        <v>1716</v>
      </c>
      <c r="I203" s="32"/>
      <c r="J203" s="32"/>
      <c r="K203" s="27"/>
      <c r="L203" s="28"/>
      <c r="M203" s="253"/>
      <c r="N203" s="253"/>
      <c r="O203" s="253"/>
      <c r="P203" s="253"/>
      <c r="Q203" s="253"/>
      <c r="R203" s="253"/>
      <c r="S203" s="253"/>
      <c r="T203" s="253"/>
      <c r="U203" s="275"/>
      <c r="V203" s="275"/>
      <c r="W203" s="27"/>
      <c r="X203" s="275"/>
      <c r="Y203" s="201"/>
      <c r="Z203" s="275"/>
      <c r="AA203" s="201"/>
      <c r="AB203" s="250"/>
      <c r="AC203" s="161"/>
      <c r="AD203" s="161"/>
      <c r="AE203" s="161"/>
      <c r="AF203" s="161"/>
      <c r="AG203" s="161"/>
      <c r="AH203" s="161"/>
      <c r="AI203" s="161"/>
      <c r="AJ203" s="161"/>
      <c r="AK203" s="240"/>
      <c r="AL203" s="161"/>
      <c r="AM203" s="161"/>
      <c r="AN203" s="161"/>
      <c r="AO203" s="161"/>
      <c r="AP203" s="161"/>
      <c r="AQ203" s="161"/>
      <c r="AR203" s="276">
        <v>54.64</v>
      </c>
      <c r="AS203" s="191">
        <v>0.5</v>
      </c>
      <c r="AT203" s="191">
        <v>0.55000000000000004</v>
      </c>
      <c r="AU203" s="191">
        <v>0.4</v>
      </c>
      <c r="AV203" s="161"/>
      <c r="AW203" s="161"/>
      <c r="AX203" s="251" t="s">
        <v>1717</v>
      </c>
      <c r="AY203" s="251" t="s">
        <v>1718</v>
      </c>
      <c r="AZ203" s="251"/>
      <c r="BA203" s="251"/>
      <c r="BB203" s="251"/>
      <c r="BC203" s="251"/>
      <c r="BD203" s="251"/>
      <c r="BE203" s="251"/>
      <c r="BF203" s="108" t="s">
        <v>989</v>
      </c>
      <c r="BG203" s="108"/>
      <c r="BH203" s="108"/>
      <c r="BI203" s="108"/>
      <c r="BJ203" s="108"/>
      <c r="BK203" s="153">
        <v>5.13</v>
      </c>
      <c r="BL203" s="153">
        <v>5.13</v>
      </c>
      <c r="BM203" s="153">
        <v>9.25</v>
      </c>
      <c r="BN203" s="157">
        <f t="shared" si="59"/>
        <v>0.14087460937499999</v>
      </c>
      <c r="BO203" s="153">
        <f>0.9+0.25</f>
        <v>1.1499999999999999</v>
      </c>
      <c r="BP203" s="360"/>
      <c r="BQ203" s="360"/>
      <c r="BR203" s="116" t="s">
        <v>733</v>
      </c>
      <c r="BS203" s="29">
        <v>1</v>
      </c>
      <c r="BT203" s="29">
        <v>48</v>
      </c>
      <c r="BU203" s="29">
        <v>3</v>
      </c>
      <c r="BV203" s="29">
        <f t="shared" ref="BV203:BV209" si="66">BS203*BT203*BU203</f>
        <v>144</v>
      </c>
      <c r="BW203" s="29">
        <f t="shared" si="65"/>
        <v>215.6</v>
      </c>
      <c r="BX203" s="29" t="s">
        <v>890</v>
      </c>
      <c r="BY203" s="29"/>
      <c r="BZ203" s="254"/>
      <c r="CA203" s="254"/>
      <c r="CB203" s="254"/>
      <c r="CC203" s="15"/>
      <c r="CD203" s="15"/>
      <c r="CE203" s="15"/>
      <c r="CF203" s="15"/>
      <c r="CG203" s="15"/>
      <c r="CH203" s="15"/>
      <c r="CI203" s="15"/>
      <c r="CJ203" s="15"/>
    </row>
    <row r="204" spans="1:88" s="117" customFormat="1" x14ac:dyDescent="0.25">
      <c r="A204" s="256">
        <v>41782</v>
      </c>
      <c r="B204" s="256"/>
      <c r="C204" s="240" t="s">
        <v>1719</v>
      </c>
      <c r="D204" s="161" t="s">
        <v>60</v>
      </c>
      <c r="E204" s="229" t="s">
        <v>1084</v>
      </c>
      <c r="F204" s="47" t="s">
        <v>1720</v>
      </c>
      <c r="G204" s="211" t="s">
        <v>1721</v>
      </c>
      <c r="H204" s="32">
        <v>230029</v>
      </c>
      <c r="I204" s="32"/>
      <c r="J204" s="32"/>
      <c r="K204" s="27"/>
      <c r="L204" s="28"/>
      <c r="M204" s="253"/>
      <c r="N204" s="253"/>
      <c r="O204" s="253"/>
      <c r="P204" s="253"/>
      <c r="Q204" s="253"/>
      <c r="R204" s="253"/>
      <c r="S204" s="253"/>
      <c r="T204" s="253"/>
      <c r="U204" s="275"/>
      <c r="V204" s="275"/>
      <c r="W204" s="27"/>
      <c r="X204" s="275"/>
      <c r="Y204" s="201"/>
      <c r="Z204" s="275"/>
      <c r="AA204" s="201" t="s">
        <v>1722</v>
      </c>
      <c r="AB204" s="250"/>
      <c r="AC204" s="161"/>
      <c r="AD204" s="161"/>
      <c r="AE204" s="161"/>
      <c r="AF204" s="161"/>
      <c r="AG204" s="161"/>
      <c r="AH204" s="161"/>
      <c r="AI204" s="161"/>
      <c r="AJ204" s="161"/>
      <c r="AK204" s="240"/>
      <c r="AL204" s="161"/>
      <c r="AM204" s="161"/>
      <c r="AN204" s="161"/>
      <c r="AO204" s="161"/>
      <c r="AP204" s="161"/>
      <c r="AQ204" s="161"/>
      <c r="AR204" s="276">
        <v>16.66</v>
      </c>
      <c r="AS204" s="161"/>
      <c r="AT204" s="161"/>
      <c r="AU204" s="161"/>
      <c r="AV204" s="161"/>
      <c r="AW204" s="161"/>
      <c r="AX204" s="262" t="s">
        <v>1723</v>
      </c>
      <c r="AY204" s="262" t="s">
        <v>1724</v>
      </c>
      <c r="AZ204" s="262"/>
      <c r="BA204" s="262"/>
      <c r="BB204" s="262"/>
      <c r="BC204" s="262"/>
      <c r="BD204" s="262"/>
      <c r="BE204" s="262"/>
      <c r="BF204" s="153" t="s">
        <v>1509</v>
      </c>
      <c r="BG204" s="109"/>
      <c r="BH204" s="109"/>
      <c r="BI204" s="109"/>
      <c r="BJ204" s="109"/>
      <c r="BK204" s="153">
        <v>15.81</v>
      </c>
      <c r="BL204" s="153">
        <v>11.93</v>
      </c>
      <c r="BM204" s="153">
        <v>5.0599999999999996</v>
      </c>
      <c r="BN204" s="157">
        <f t="shared" si="59"/>
        <v>0.55230514930555552</v>
      </c>
      <c r="BO204" s="153">
        <f>0.38*BS204+0.25</f>
        <v>4.8100000000000005</v>
      </c>
      <c r="BP204" s="360"/>
      <c r="BQ204" s="360"/>
      <c r="BR204" s="116" t="s">
        <v>733</v>
      </c>
      <c r="BS204" s="29">
        <v>12</v>
      </c>
      <c r="BT204" s="29">
        <v>10</v>
      </c>
      <c r="BU204" s="29">
        <v>7</v>
      </c>
      <c r="BV204" s="29">
        <f t="shared" si="66"/>
        <v>840</v>
      </c>
      <c r="BW204" s="29">
        <f t="shared" si="65"/>
        <v>386.70000000000005</v>
      </c>
      <c r="BX204" s="29" t="s">
        <v>890</v>
      </c>
      <c r="BY204" s="29" t="s">
        <v>735</v>
      </c>
      <c r="BZ204" s="254"/>
      <c r="CA204" s="254"/>
      <c r="CB204" s="254"/>
      <c r="CC204" s="15"/>
      <c r="CD204" s="15"/>
      <c r="CE204" s="15"/>
      <c r="CF204" s="15"/>
      <c r="CG204" s="15"/>
      <c r="CH204" s="15"/>
      <c r="CI204" s="15"/>
      <c r="CJ204" s="15"/>
    </row>
    <row r="205" spans="1:88" s="117" customFormat="1" x14ac:dyDescent="0.25">
      <c r="A205" s="256">
        <v>41782</v>
      </c>
      <c r="B205" s="256"/>
      <c r="C205" s="229" t="s">
        <v>1725</v>
      </c>
      <c r="D205" s="161" t="s">
        <v>60</v>
      </c>
      <c r="E205" s="229" t="s">
        <v>1705</v>
      </c>
      <c r="F205" s="252" t="s">
        <v>1726</v>
      </c>
      <c r="G205" s="32" t="s">
        <v>1512</v>
      </c>
      <c r="H205" s="32">
        <v>300110625</v>
      </c>
      <c r="I205" s="32" t="s">
        <v>1727</v>
      </c>
      <c r="J205" s="32">
        <v>232006</v>
      </c>
      <c r="K205" s="27" t="s">
        <v>1373</v>
      </c>
      <c r="L205" s="28">
        <v>23538565</v>
      </c>
      <c r="M205" s="253"/>
      <c r="N205" s="253"/>
      <c r="O205" s="253"/>
      <c r="P205" s="253"/>
      <c r="Q205" s="253"/>
      <c r="R205" s="253"/>
      <c r="S205" s="253"/>
      <c r="T205" s="253"/>
      <c r="U205" s="275" t="s">
        <v>1728</v>
      </c>
      <c r="V205" s="275"/>
      <c r="W205" s="27">
        <v>86661</v>
      </c>
      <c r="X205" s="275"/>
      <c r="Y205" s="201" t="s">
        <v>1729</v>
      </c>
      <c r="Z205" s="275"/>
      <c r="AA205" s="201" t="s">
        <v>1730</v>
      </c>
      <c r="AB205" s="250" t="s">
        <v>1731</v>
      </c>
      <c r="AC205" s="161"/>
      <c r="AD205" s="161"/>
      <c r="AE205" s="161"/>
      <c r="AF205" s="161"/>
      <c r="AG205" s="161"/>
      <c r="AH205" s="161"/>
      <c r="AI205" s="161"/>
      <c r="AJ205" s="161"/>
      <c r="AK205" s="240">
        <v>3661</v>
      </c>
      <c r="AL205" s="161"/>
      <c r="AM205" s="161"/>
      <c r="AN205" s="161"/>
      <c r="AO205" s="161"/>
      <c r="AP205" s="161"/>
      <c r="AQ205" s="161">
        <v>33661</v>
      </c>
      <c r="AR205" s="33">
        <v>14.15</v>
      </c>
      <c r="AS205" s="191">
        <v>0.5</v>
      </c>
      <c r="AT205" s="191">
        <v>0.55000000000000004</v>
      </c>
      <c r="AU205" s="191">
        <v>0.4</v>
      </c>
      <c r="AV205" s="161"/>
      <c r="AW205" s="161"/>
      <c r="AX205" s="251" t="s">
        <v>1732</v>
      </c>
      <c r="AY205" s="251" t="s">
        <v>1733</v>
      </c>
      <c r="AZ205" s="251"/>
      <c r="BA205" s="251"/>
      <c r="BB205" s="251"/>
      <c r="BC205" s="251"/>
      <c r="BD205" s="251"/>
      <c r="BE205" s="251"/>
      <c r="BF205" s="153">
        <v>3.8479999999999999</v>
      </c>
      <c r="BG205" s="153">
        <v>3.8479999999999999</v>
      </c>
      <c r="BH205" s="153">
        <v>5.4470000000000001</v>
      </c>
      <c r="BI205" s="157">
        <f>(BH205*BG205*BF205)/1728</f>
        <v>4.6674939518518511E-2</v>
      </c>
      <c r="BJ205" s="153">
        <v>0.46200000000000002</v>
      </c>
      <c r="BK205" s="153">
        <v>15.81</v>
      </c>
      <c r="BL205" s="153">
        <v>11.93</v>
      </c>
      <c r="BM205" s="153">
        <v>6</v>
      </c>
      <c r="BN205" s="157">
        <f t="shared" si="59"/>
        <v>0.65490729166666672</v>
      </c>
      <c r="BO205" s="153">
        <f>0.462*BS205+0.25</f>
        <v>5.7940000000000005</v>
      </c>
      <c r="BP205" s="360"/>
      <c r="BQ205" s="360"/>
      <c r="BR205" s="116" t="s">
        <v>733</v>
      </c>
      <c r="BS205" s="29">
        <v>12</v>
      </c>
      <c r="BT205" s="29">
        <v>10</v>
      </c>
      <c r="BU205" s="29">
        <v>7</v>
      </c>
      <c r="BV205" s="29">
        <f t="shared" si="66"/>
        <v>840</v>
      </c>
      <c r="BW205" s="29">
        <f t="shared" si="65"/>
        <v>455.58000000000004</v>
      </c>
      <c r="BX205" s="29" t="s">
        <v>890</v>
      </c>
      <c r="BY205" s="29" t="s">
        <v>735</v>
      </c>
      <c r="BZ205" s="254"/>
      <c r="CA205" s="254"/>
      <c r="CB205" s="254"/>
      <c r="CC205" s="15"/>
      <c r="CD205" s="15"/>
      <c r="CE205" s="15"/>
      <c r="CF205" s="15"/>
      <c r="CG205" s="15"/>
      <c r="CH205" s="15"/>
      <c r="CI205" s="15"/>
      <c r="CJ205" s="15"/>
    </row>
    <row r="206" spans="1:88" s="117" customFormat="1" ht="30" x14ac:dyDescent="0.25">
      <c r="A206" s="256">
        <v>41782</v>
      </c>
      <c r="B206" s="256"/>
      <c r="C206" s="229" t="s">
        <v>1734</v>
      </c>
      <c r="D206" s="161" t="s">
        <v>60</v>
      </c>
      <c r="E206" s="229" t="s">
        <v>1101</v>
      </c>
      <c r="F206" s="252" t="s">
        <v>1735</v>
      </c>
      <c r="G206" s="32" t="s">
        <v>10</v>
      </c>
      <c r="H206" s="32" t="s">
        <v>1736</v>
      </c>
      <c r="I206" s="32"/>
      <c r="J206" s="32"/>
      <c r="K206" s="27"/>
      <c r="L206" s="28"/>
      <c r="M206" s="253"/>
      <c r="N206" s="253"/>
      <c r="O206" s="253"/>
      <c r="P206" s="253"/>
      <c r="Q206" s="253"/>
      <c r="R206" s="253"/>
      <c r="S206" s="253"/>
      <c r="T206" s="253"/>
      <c r="U206" s="275"/>
      <c r="V206" s="275"/>
      <c r="W206" s="27"/>
      <c r="X206" s="275"/>
      <c r="Y206" s="201" t="s">
        <v>1736</v>
      </c>
      <c r="Z206" s="275"/>
      <c r="AA206" s="201"/>
      <c r="AB206" s="250"/>
      <c r="AC206" s="161"/>
      <c r="AD206" s="161"/>
      <c r="AE206" s="161"/>
      <c r="AF206" s="161"/>
      <c r="AG206" s="161"/>
      <c r="AH206" s="161"/>
      <c r="AI206" s="161"/>
      <c r="AJ206" s="161"/>
      <c r="AK206" s="240"/>
      <c r="AL206" s="161"/>
      <c r="AM206" s="161"/>
      <c r="AN206" s="161"/>
      <c r="AO206" s="161"/>
      <c r="AP206" s="161"/>
      <c r="AQ206" s="161"/>
      <c r="AR206" s="33">
        <v>206.24</v>
      </c>
      <c r="AS206" s="161"/>
      <c r="AT206" s="161"/>
      <c r="AU206" s="161"/>
      <c r="AV206" s="161"/>
      <c r="AW206" s="161"/>
      <c r="AX206" s="262" t="s">
        <v>1737</v>
      </c>
      <c r="AY206" s="262" t="s">
        <v>1738</v>
      </c>
      <c r="AZ206" s="262"/>
      <c r="BA206" s="262"/>
      <c r="BB206" s="262"/>
      <c r="BC206" s="262"/>
      <c r="BD206" s="262"/>
      <c r="BE206" s="262"/>
      <c r="BF206" s="108" t="s">
        <v>989</v>
      </c>
      <c r="BG206" s="108"/>
      <c r="BH206" s="108"/>
      <c r="BI206" s="108"/>
      <c r="BJ206" s="108"/>
      <c r="BK206" s="153">
        <v>13.25</v>
      </c>
      <c r="BL206" s="153">
        <v>13.25</v>
      </c>
      <c r="BM206" s="153">
        <v>26.59</v>
      </c>
      <c r="BN206" s="157">
        <f t="shared" si="59"/>
        <v>2.7015086082175923</v>
      </c>
      <c r="BO206" s="153">
        <f>10.92+0.25</f>
        <v>11.17</v>
      </c>
      <c r="BP206" s="360"/>
      <c r="BQ206" s="360"/>
      <c r="BR206" s="116" t="s">
        <v>733</v>
      </c>
      <c r="BS206" s="29">
        <v>1</v>
      </c>
      <c r="BT206" s="29">
        <v>6</v>
      </c>
      <c r="BU206" s="29">
        <v>1</v>
      </c>
      <c r="BV206" s="29">
        <f t="shared" si="66"/>
        <v>6</v>
      </c>
      <c r="BW206" s="29">
        <f t="shared" si="65"/>
        <v>117.02</v>
      </c>
      <c r="BX206" s="29" t="s">
        <v>890</v>
      </c>
      <c r="BY206" s="29" t="s">
        <v>735</v>
      </c>
      <c r="BZ206" s="254"/>
      <c r="CA206" s="254"/>
      <c r="CB206" s="254"/>
      <c r="CC206" s="15"/>
      <c r="CD206" s="15"/>
      <c r="CE206" s="15"/>
      <c r="CF206" s="15"/>
      <c r="CG206" s="15"/>
      <c r="CH206" s="15"/>
      <c r="CI206" s="15"/>
      <c r="CJ206" s="15"/>
    </row>
    <row r="207" spans="1:88" s="117" customFormat="1" ht="30" x14ac:dyDescent="0.25">
      <c r="A207" s="256">
        <v>41782</v>
      </c>
      <c r="B207" s="256"/>
      <c r="C207" s="240" t="s">
        <v>1739</v>
      </c>
      <c r="D207" s="161" t="s">
        <v>60</v>
      </c>
      <c r="E207" s="229" t="s">
        <v>1101</v>
      </c>
      <c r="F207" s="47" t="s">
        <v>1740</v>
      </c>
      <c r="G207" s="211" t="s">
        <v>10</v>
      </c>
      <c r="H207" s="32" t="s">
        <v>1741</v>
      </c>
      <c r="I207" s="32"/>
      <c r="J207" s="32"/>
      <c r="K207" s="27"/>
      <c r="L207" s="28"/>
      <c r="M207" s="253"/>
      <c r="N207" s="253"/>
      <c r="O207" s="253"/>
      <c r="P207" s="253"/>
      <c r="Q207" s="253"/>
      <c r="R207" s="253"/>
      <c r="S207" s="253"/>
      <c r="T207" s="253"/>
      <c r="U207" s="275"/>
      <c r="V207" s="275"/>
      <c r="W207" s="27"/>
      <c r="X207" s="275"/>
      <c r="Y207" s="32" t="s">
        <v>1741</v>
      </c>
      <c r="Z207" s="275"/>
      <c r="AA207" s="201"/>
      <c r="AB207" s="250"/>
      <c r="AC207" s="161"/>
      <c r="AD207" s="161"/>
      <c r="AE207" s="161"/>
      <c r="AF207" s="161"/>
      <c r="AG207" s="161"/>
      <c r="AH207" s="161"/>
      <c r="AI207" s="161"/>
      <c r="AJ207" s="161"/>
      <c r="AK207" s="240"/>
      <c r="AL207" s="161"/>
      <c r="AM207" s="161"/>
      <c r="AN207" s="161"/>
      <c r="AO207" s="161"/>
      <c r="AP207" s="161"/>
      <c r="AQ207" s="161"/>
      <c r="AR207" s="276">
        <v>242.76</v>
      </c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08" t="s">
        <v>989</v>
      </c>
      <c r="BG207" s="108"/>
      <c r="BH207" s="108"/>
      <c r="BI207" s="108"/>
      <c r="BJ207" s="108"/>
      <c r="BK207" s="153">
        <v>19.25</v>
      </c>
      <c r="BL207" s="153">
        <v>8.6</v>
      </c>
      <c r="BM207" s="153">
        <v>12.5</v>
      </c>
      <c r="BN207" s="157">
        <f t="shared" si="59"/>
        <v>1.1975549768518519</v>
      </c>
      <c r="BO207" s="153">
        <f>5.51+0.25</f>
        <v>5.76</v>
      </c>
      <c r="BP207" s="360"/>
      <c r="BQ207" s="360"/>
      <c r="BR207" s="116" t="s">
        <v>733</v>
      </c>
      <c r="BS207" s="29">
        <v>1</v>
      </c>
      <c r="BT207" s="29">
        <v>10</v>
      </c>
      <c r="BU207" s="29">
        <v>3</v>
      </c>
      <c r="BV207" s="29">
        <f t="shared" si="66"/>
        <v>30</v>
      </c>
      <c r="BW207" s="29">
        <f t="shared" si="65"/>
        <v>222.79999999999998</v>
      </c>
      <c r="BX207" s="29" t="s">
        <v>890</v>
      </c>
      <c r="BY207" s="29"/>
      <c r="BZ207" s="254"/>
      <c r="CA207" s="254"/>
      <c r="CB207" s="254"/>
      <c r="CC207" s="15"/>
      <c r="CD207" s="15"/>
      <c r="CE207" s="15"/>
      <c r="CF207" s="15"/>
      <c r="CG207" s="15"/>
      <c r="CH207" s="15"/>
      <c r="CI207" s="15"/>
      <c r="CJ207" s="15"/>
    </row>
    <row r="208" spans="1:88" s="117" customFormat="1" ht="30" x14ac:dyDescent="0.25">
      <c r="A208" s="256">
        <v>41782</v>
      </c>
      <c r="B208" s="256"/>
      <c r="C208" s="240" t="s">
        <v>1742</v>
      </c>
      <c r="D208" s="161" t="s">
        <v>60</v>
      </c>
      <c r="E208" s="229" t="s">
        <v>1101</v>
      </c>
      <c r="F208" s="47" t="s">
        <v>1743</v>
      </c>
      <c r="G208" s="211" t="s">
        <v>10</v>
      </c>
      <c r="H208" s="32" t="s">
        <v>1744</v>
      </c>
      <c r="I208" s="32"/>
      <c r="J208" s="32"/>
      <c r="K208" s="27"/>
      <c r="L208" s="28"/>
      <c r="M208" s="253"/>
      <c r="N208" s="253"/>
      <c r="O208" s="253"/>
      <c r="P208" s="253"/>
      <c r="Q208" s="253"/>
      <c r="R208" s="253"/>
      <c r="S208" s="253"/>
      <c r="T208" s="253"/>
      <c r="U208" s="275"/>
      <c r="V208" s="275"/>
      <c r="W208" s="27"/>
      <c r="X208" s="275"/>
      <c r="Y208" s="32" t="s">
        <v>1744</v>
      </c>
      <c r="Z208" s="275"/>
      <c r="AA208" s="201"/>
      <c r="AB208" s="250"/>
      <c r="AC208" s="161"/>
      <c r="AD208" s="161"/>
      <c r="AE208" s="161"/>
      <c r="AF208" s="161"/>
      <c r="AG208" s="161"/>
      <c r="AH208" s="161"/>
      <c r="AI208" s="161"/>
      <c r="AJ208" s="161"/>
      <c r="AK208" s="240"/>
      <c r="AL208" s="161"/>
      <c r="AM208" s="161"/>
      <c r="AN208" s="161"/>
      <c r="AO208" s="161"/>
      <c r="AP208" s="161"/>
      <c r="AQ208" s="161"/>
      <c r="AR208" s="276">
        <v>189.01</v>
      </c>
      <c r="AS208" s="161"/>
      <c r="AT208" s="161"/>
      <c r="AU208" s="161"/>
      <c r="AV208" s="161"/>
      <c r="AW208" s="161"/>
      <c r="AX208" s="251" t="s">
        <v>1745</v>
      </c>
      <c r="AY208" s="251" t="s">
        <v>1746</v>
      </c>
      <c r="AZ208" s="251"/>
      <c r="BA208" s="251"/>
      <c r="BB208" s="251"/>
      <c r="BC208" s="251"/>
      <c r="BD208" s="251"/>
      <c r="BE208" s="251"/>
      <c r="BF208" s="108" t="s">
        <v>989</v>
      </c>
      <c r="BG208" s="108"/>
      <c r="BH208" s="108"/>
      <c r="BI208" s="108"/>
      <c r="BJ208" s="108"/>
      <c r="BK208" s="153">
        <v>11.505000000000001</v>
      </c>
      <c r="BL208" s="153">
        <v>11.505000000000001</v>
      </c>
      <c r="BM208" s="153">
        <v>24.63</v>
      </c>
      <c r="BN208" s="157">
        <f t="shared" si="59"/>
        <v>1.8866612070312501</v>
      </c>
      <c r="BO208" s="153">
        <f>7.84+0.4</f>
        <v>8.24</v>
      </c>
      <c r="BP208" s="360"/>
      <c r="BQ208" s="360"/>
      <c r="BR208" s="116" t="s">
        <v>733</v>
      </c>
      <c r="BS208" s="29">
        <v>1</v>
      </c>
      <c r="BT208" s="29">
        <v>6</v>
      </c>
      <c r="BU208" s="29">
        <v>1</v>
      </c>
      <c r="BV208" s="29">
        <f t="shared" si="66"/>
        <v>6</v>
      </c>
      <c r="BW208" s="29">
        <f t="shared" si="65"/>
        <v>99.44</v>
      </c>
      <c r="BX208" s="29" t="s">
        <v>890</v>
      </c>
      <c r="BY208" s="29"/>
      <c r="BZ208" s="254"/>
      <c r="CA208" s="254"/>
      <c r="CB208" s="254"/>
      <c r="CC208" s="15"/>
      <c r="CD208" s="15"/>
      <c r="CE208" s="15"/>
      <c r="CF208" s="15"/>
      <c r="CG208" s="15"/>
      <c r="CH208" s="15"/>
      <c r="CI208" s="15"/>
      <c r="CJ208" s="15"/>
    </row>
    <row r="209" spans="1:88" s="117" customFormat="1" ht="30" x14ac:dyDescent="0.25">
      <c r="A209" s="256">
        <v>41782</v>
      </c>
      <c r="B209" s="256"/>
      <c r="C209" s="228" t="s">
        <v>1747</v>
      </c>
      <c r="D209" s="161" t="s">
        <v>60</v>
      </c>
      <c r="E209" s="277" t="s">
        <v>1748</v>
      </c>
      <c r="F209" s="47" t="s">
        <v>1749</v>
      </c>
      <c r="G209" s="240" t="s">
        <v>1278</v>
      </c>
      <c r="H209" s="161">
        <v>925837</v>
      </c>
      <c r="I209" s="207" t="s">
        <v>1750</v>
      </c>
      <c r="J209" s="27">
        <v>757051</v>
      </c>
      <c r="K209" s="207" t="s">
        <v>1750</v>
      </c>
      <c r="L209" s="27">
        <v>7559101</v>
      </c>
      <c r="M209" s="27" t="s">
        <v>1751</v>
      </c>
      <c r="N209" s="161" t="s">
        <v>1752</v>
      </c>
      <c r="O209" s="161" t="s">
        <v>1278</v>
      </c>
      <c r="P209" s="161">
        <v>925836</v>
      </c>
      <c r="Q209" s="253"/>
      <c r="R209" s="253"/>
      <c r="S209" s="253"/>
      <c r="T209" s="253"/>
      <c r="U209" s="275" t="s">
        <v>1753</v>
      </c>
      <c r="V209" s="275"/>
      <c r="W209" s="27">
        <v>84888</v>
      </c>
      <c r="X209" s="275"/>
      <c r="Y209" s="201" t="s">
        <v>1754</v>
      </c>
      <c r="Z209" s="275"/>
      <c r="AA209" s="201" t="s">
        <v>1755</v>
      </c>
      <c r="AB209" s="250"/>
      <c r="AC209" s="161"/>
      <c r="AD209" s="161"/>
      <c r="AE209" s="161"/>
      <c r="AF209" s="161"/>
      <c r="AG209" s="161"/>
      <c r="AH209" s="161"/>
      <c r="AI209" s="161"/>
      <c r="AJ209" s="161"/>
      <c r="AK209" s="240">
        <v>7888</v>
      </c>
      <c r="AL209" s="161"/>
      <c r="AM209" s="161"/>
      <c r="AN209" s="161"/>
      <c r="AO209" s="161"/>
      <c r="AP209" s="161"/>
      <c r="AQ209" s="161">
        <v>57888</v>
      </c>
      <c r="AR209" s="276">
        <v>134.06</v>
      </c>
      <c r="AS209" s="161"/>
      <c r="AT209" s="161"/>
      <c r="AU209" s="161"/>
      <c r="AV209" s="161"/>
      <c r="AW209" s="161"/>
      <c r="AX209" s="262" t="s">
        <v>1756</v>
      </c>
      <c r="AY209" s="262" t="s">
        <v>1757</v>
      </c>
      <c r="AZ209" s="262"/>
      <c r="BA209" s="262"/>
      <c r="BB209" s="262"/>
      <c r="BC209" s="262"/>
      <c r="BD209" s="262"/>
      <c r="BE209" s="262"/>
      <c r="BF209" s="153" t="s">
        <v>1509</v>
      </c>
      <c r="BG209" s="109"/>
      <c r="BH209" s="109"/>
      <c r="BI209" s="109"/>
      <c r="BJ209" s="109"/>
      <c r="BK209" s="235">
        <v>3.5</v>
      </c>
      <c r="BL209" s="235">
        <v>3.5</v>
      </c>
      <c r="BM209" s="235">
        <v>10.25</v>
      </c>
      <c r="BN209" s="157">
        <f t="shared" si="59"/>
        <v>7.2663483796296294E-2</v>
      </c>
      <c r="BO209" s="235">
        <f>0.8*BS209+0.4</f>
        <v>10.000000000000002</v>
      </c>
      <c r="BP209" s="365"/>
      <c r="BQ209" s="365"/>
      <c r="BR209" s="161" t="s">
        <v>733</v>
      </c>
      <c r="BS209" s="228">
        <v>12</v>
      </c>
      <c r="BT209" s="228">
        <v>9</v>
      </c>
      <c r="BU209" s="228">
        <v>4</v>
      </c>
      <c r="BV209" s="29">
        <f t="shared" si="66"/>
        <v>432</v>
      </c>
      <c r="BW209" s="29">
        <f t="shared" si="65"/>
        <v>410.00000000000006</v>
      </c>
      <c r="BX209" s="29" t="s">
        <v>890</v>
      </c>
      <c r="BY209" s="29" t="s">
        <v>735</v>
      </c>
      <c r="BZ209" s="254"/>
      <c r="CA209" s="254"/>
      <c r="CB209" s="254"/>
      <c r="CC209" s="15"/>
      <c r="CD209" s="15"/>
      <c r="CE209" s="15"/>
      <c r="CF209" s="15"/>
      <c r="CG209" s="15"/>
      <c r="CH209" s="15"/>
      <c r="CI209" s="15"/>
      <c r="CJ209" s="15"/>
    </row>
    <row r="210" spans="1:88" s="117" customFormat="1" x14ac:dyDescent="0.25">
      <c r="A210" s="256">
        <v>41782</v>
      </c>
      <c r="B210" s="256"/>
      <c r="C210" s="229" t="s">
        <v>1758</v>
      </c>
      <c r="D210" s="161" t="s">
        <v>60</v>
      </c>
      <c r="E210" s="229" t="s">
        <v>1710</v>
      </c>
      <c r="F210" s="41" t="s">
        <v>1759</v>
      </c>
      <c r="G210" s="211"/>
      <c r="H210" s="32"/>
      <c r="I210" s="32"/>
      <c r="J210" s="32"/>
      <c r="K210" s="27"/>
      <c r="L210" s="28"/>
      <c r="M210" s="253"/>
      <c r="N210" s="253"/>
      <c r="O210" s="253"/>
      <c r="P210" s="253"/>
      <c r="Q210" s="253"/>
      <c r="R210" s="253"/>
      <c r="S210" s="253"/>
      <c r="T210" s="253"/>
      <c r="U210" s="275"/>
      <c r="V210" s="275"/>
      <c r="W210" s="27"/>
      <c r="X210" s="275"/>
      <c r="Y210" s="201"/>
      <c r="Z210" s="275"/>
      <c r="AA210" s="201"/>
      <c r="AB210" s="250"/>
      <c r="AC210" s="161"/>
      <c r="AD210" s="161"/>
      <c r="AE210" s="161"/>
      <c r="AF210" s="161"/>
      <c r="AG210" s="161"/>
      <c r="AH210" s="161"/>
      <c r="AI210" s="161"/>
      <c r="AJ210" s="161"/>
      <c r="AK210" s="240"/>
      <c r="AL210" s="161"/>
      <c r="AM210" s="161"/>
      <c r="AN210" s="161"/>
      <c r="AO210" s="161"/>
      <c r="AP210" s="161"/>
      <c r="AQ210" s="161"/>
      <c r="AR210" s="33">
        <v>32.729999999999997</v>
      </c>
      <c r="AS210" s="161"/>
      <c r="AT210" s="161"/>
      <c r="AU210" s="161"/>
      <c r="AV210" s="161"/>
      <c r="AW210" s="161"/>
      <c r="AX210" s="262" t="s">
        <v>1760</v>
      </c>
      <c r="AY210" s="262" t="s">
        <v>1761</v>
      </c>
      <c r="AZ210" s="262"/>
      <c r="BA210" s="262"/>
      <c r="BB210" s="262"/>
      <c r="BC210" s="262"/>
      <c r="BD210" s="262"/>
      <c r="BE210" s="262"/>
      <c r="BF210" s="153" t="s">
        <v>1509</v>
      </c>
      <c r="BG210" s="109"/>
      <c r="BH210" s="109"/>
      <c r="BI210" s="109"/>
      <c r="BJ210" s="109"/>
      <c r="BK210" s="153">
        <v>7.9950000000000001</v>
      </c>
      <c r="BL210" s="153">
        <v>7.9950000000000001</v>
      </c>
      <c r="BM210" s="153">
        <v>11.5</v>
      </c>
      <c r="BN210" s="157">
        <f>(BM210*BL210*BK210)/1728</f>
        <v>0.42539368489583329</v>
      </c>
      <c r="BO210" s="153">
        <v>5.23</v>
      </c>
      <c r="BP210" s="360"/>
      <c r="BQ210" s="360"/>
      <c r="BR210" s="116" t="s">
        <v>733</v>
      </c>
      <c r="BS210" s="29">
        <v>1</v>
      </c>
      <c r="BT210" s="29">
        <v>30</v>
      </c>
      <c r="BU210" s="29">
        <v>3</v>
      </c>
      <c r="BV210" s="29">
        <f>BS210*BT210*BU210</f>
        <v>90</v>
      </c>
      <c r="BW210" s="29">
        <f>(BO210*BT210*BU210)+50</f>
        <v>520.70000000000005</v>
      </c>
      <c r="BX210" s="29" t="s">
        <v>890</v>
      </c>
      <c r="BY210" s="29" t="s">
        <v>735</v>
      </c>
      <c r="BZ210" s="254"/>
      <c r="CA210" s="254"/>
      <c r="CB210" s="254"/>
      <c r="CC210" s="15"/>
      <c r="CD210" s="15"/>
      <c r="CE210" s="15"/>
      <c r="CF210" s="15"/>
      <c r="CG210" s="15"/>
      <c r="CH210" s="15"/>
      <c r="CI210" s="15"/>
      <c r="CJ210" s="15"/>
    </row>
    <row r="211" spans="1:88" s="117" customFormat="1" x14ac:dyDescent="0.25">
      <c r="A211" s="256">
        <v>41782</v>
      </c>
      <c r="B211" s="256"/>
      <c r="C211" s="240" t="s">
        <v>1762</v>
      </c>
      <c r="D211" s="161" t="s">
        <v>60</v>
      </c>
      <c r="E211" s="229" t="s">
        <v>1763</v>
      </c>
      <c r="F211" s="41" t="s">
        <v>1764</v>
      </c>
      <c r="G211" s="211"/>
      <c r="H211" s="32"/>
      <c r="I211" s="32"/>
      <c r="J211" s="32"/>
      <c r="K211" s="27"/>
      <c r="L211" s="28"/>
      <c r="M211" s="253"/>
      <c r="N211" s="253"/>
      <c r="O211" s="253"/>
      <c r="P211" s="253"/>
      <c r="Q211" s="253"/>
      <c r="R211" s="253"/>
      <c r="S211" s="253"/>
      <c r="T211" s="253"/>
      <c r="U211" s="275"/>
      <c r="V211" s="275"/>
      <c r="W211" s="27"/>
      <c r="X211" s="275"/>
      <c r="Y211" s="201"/>
      <c r="Z211" s="275"/>
      <c r="AA211" s="201"/>
      <c r="AB211" s="250"/>
      <c r="AC211" s="161"/>
      <c r="AD211" s="161"/>
      <c r="AE211" s="161"/>
      <c r="AF211" s="161"/>
      <c r="AG211" s="161"/>
      <c r="AH211" s="161"/>
      <c r="AI211" s="161"/>
      <c r="AJ211" s="161"/>
      <c r="AK211" s="240"/>
      <c r="AL211" s="161"/>
      <c r="AM211" s="161"/>
      <c r="AN211" s="161"/>
      <c r="AO211" s="161"/>
      <c r="AP211" s="161"/>
      <c r="AQ211" s="161"/>
      <c r="AR211" s="276">
        <v>17.420000000000002</v>
      </c>
      <c r="AS211" s="159">
        <v>0.5</v>
      </c>
      <c r="AT211" s="191">
        <v>0.55000000000000004</v>
      </c>
      <c r="AU211" s="192">
        <v>0.4</v>
      </c>
      <c r="AV211" s="161"/>
      <c r="AW211" s="161"/>
      <c r="AX211" s="251" t="s">
        <v>1765</v>
      </c>
      <c r="AY211" s="251" t="s">
        <v>1766</v>
      </c>
      <c r="AZ211" s="251"/>
      <c r="BA211" s="251"/>
      <c r="BB211" s="251"/>
      <c r="BC211" s="251"/>
      <c r="BD211" s="251"/>
      <c r="BE211" s="251"/>
      <c r="BF211" s="153" t="s">
        <v>1767</v>
      </c>
      <c r="BG211" s="109"/>
      <c r="BH211" s="109"/>
      <c r="BI211" s="109"/>
      <c r="BJ211" s="109"/>
      <c r="BK211" s="153">
        <v>5.75</v>
      </c>
      <c r="BL211" s="153">
        <v>5.25</v>
      </c>
      <c r="BM211" s="153">
        <v>3.63</v>
      </c>
      <c r="BN211" s="157">
        <f>(BM211*BL211*BK211)/1728</f>
        <v>6.3414713541666667E-2</v>
      </c>
      <c r="BO211" s="161"/>
      <c r="BP211" s="161"/>
      <c r="BQ211" s="161"/>
      <c r="BR211" s="116" t="s">
        <v>733</v>
      </c>
      <c r="BS211" s="29">
        <v>6</v>
      </c>
      <c r="BT211" s="29">
        <v>56</v>
      </c>
      <c r="BU211" s="29">
        <v>12</v>
      </c>
      <c r="BV211" s="29">
        <f>BS211*BT211*BU211</f>
        <v>4032</v>
      </c>
      <c r="BW211" s="29">
        <f>(BO211*BT211*BU211)+50</f>
        <v>50</v>
      </c>
      <c r="BX211" s="29" t="s">
        <v>890</v>
      </c>
      <c r="BY211" s="29" t="s">
        <v>735</v>
      </c>
      <c r="BZ211" s="254"/>
      <c r="CA211" s="254"/>
      <c r="CB211" s="254"/>
      <c r="CC211" s="15"/>
      <c r="CD211" s="15"/>
      <c r="CE211" s="15"/>
      <c r="CF211" s="15"/>
      <c r="CG211" s="15"/>
      <c r="CH211" s="15"/>
      <c r="CI211" s="15"/>
      <c r="CJ211" s="15"/>
    </row>
    <row r="212" spans="1:88" s="117" customFormat="1" x14ac:dyDescent="0.25">
      <c r="A212" s="256">
        <v>41782</v>
      </c>
      <c r="B212" s="256"/>
      <c r="C212" s="229" t="s">
        <v>1768</v>
      </c>
      <c r="D212" s="161" t="s">
        <v>60</v>
      </c>
      <c r="E212" s="229" t="s">
        <v>1079</v>
      </c>
      <c r="F212" s="252" t="s">
        <v>1769</v>
      </c>
      <c r="G212" s="32" t="s">
        <v>1148</v>
      </c>
      <c r="H212" s="32" t="s">
        <v>1770</v>
      </c>
      <c r="I212" s="32"/>
      <c r="J212" s="32"/>
      <c r="K212" s="27"/>
      <c r="L212" s="28"/>
      <c r="M212" s="253"/>
      <c r="N212" s="253"/>
      <c r="O212" s="253"/>
      <c r="P212" s="253"/>
      <c r="Q212" s="253"/>
      <c r="R212" s="253"/>
      <c r="S212" s="253"/>
      <c r="T212" s="253"/>
      <c r="U212" s="275"/>
      <c r="V212" s="275"/>
      <c r="W212" s="27"/>
      <c r="X212" s="275"/>
      <c r="Y212" s="201"/>
      <c r="Z212" s="275"/>
      <c r="AA212" s="201"/>
      <c r="AB212" s="250"/>
      <c r="AC212" s="161"/>
      <c r="AD212" s="161"/>
      <c r="AE212" s="161"/>
      <c r="AF212" s="161"/>
      <c r="AG212" s="161"/>
      <c r="AH212" s="161" t="s">
        <v>1771</v>
      </c>
      <c r="AI212" s="161"/>
      <c r="AJ212" s="161"/>
      <c r="AK212" s="240"/>
      <c r="AL212" s="161"/>
      <c r="AM212" s="161"/>
      <c r="AN212" s="161"/>
      <c r="AO212" s="161"/>
      <c r="AP212" s="161"/>
      <c r="AQ212" s="161">
        <v>57306</v>
      </c>
      <c r="AR212" s="276">
        <v>73.040000000000006</v>
      </c>
      <c r="AS212" s="159">
        <v>0.5</v>
      </c>
      <c r="AT212" s="191">
        <v>0.55000000000000004</v>
      </c>
      <c r="AU212" s="192">
        <v>0.4</v>
      </c>
      <c r="AV212" s="161"/>
      <c r="AW212" s="161"/>
      <c r="AX212" s="262" t="s">
        <v>1772</v>
      </c>
      <c r="AY212" s="262" t="s">
        <v>1773</v>
      </c>
      <c r="AZ212" s="262"/>
      <c r="BA212" s="262"/>
      <c r="BB212" s="262"/>
      <c r="BC212" s="262"/>
      <c r="BD212" s="262"/>
      <c r="BE212" s="262"/>
      <c r="BF212" s="153">
        <v>4.7859999999999996</v>
      </c>
      <c r="BG212" s="153">
        <v>4.7859999999999996</v>
      </c>
      <c r="BH212" s="153">
        <v>8.1969999999999992</v>
      </c>
      <c r="BI212" s="157">
        <f>(BH212*BG212*BF212)/1728</f>
        <v>0.10865671864120367</v>
      </c>
      <c r="BJ212" s="153">
        <v>0.79</v>
      </c>
      <c r="BK212" s="153">
        <v>14.805999999999999</v>
      </c>
      <c r="BL212" s="153">
        <v>10.055999999999999</v>
      </c>
      <c r="BM212" s="153">
        <v>9.4819999999999993</v>
      </c>
      <c r="BN212" s="157">
        <f>(BM212*BL212*BK212)/1728</f>
        <v>0.81699466872222215</v>
      </c>
      <c r="BO212" s="153">
        <f>BJ212*BS212+0.25</f>
        <v>4.99</v>
      </c>
      <c r="BP212" s="360"/>
      <c r="BQ212" s="360"/>
      <c r="BR212" s="116" t="s">
        <v>733</v>
      </c>
      <c r="BS212" s="29">
        <v>6</v>
      </c>
      <c r="BT212" s="29">
        <v>12</v>
      </c>
      <c r="BU212" s="29">
        <v>5</v>
      </c>
      <c r="BV212" s="29">
        <f>BS212*BT212*BU212</f>
        <v>360</v>
      </c>
      <c r="BW212" s="29">
        <f>(BO212*BT212*BU212)+50</f>
        <v>349.40000000000003</v>
      </c>
      <c r="BX212" s="29" t="s">
        <v>1774</v>
      </c>
      <c r="BY212" s="29" t="s">
        <v>735</v>
      </c>
      <c r="BZ212" s="254"/>
      <c r="CA212" s="254"/>
      <c r="CB212" s="254"/>
      <c r="CC212" s="15"/>
      <c r="CD212" s="15"/>
      <c r="CE212" s="15"/>
      <c r="CF212" s="15"/>
      <c r="CG212" s="15"/>
      <c r="CH212" s="15"/>
      <c r="CI212" s="15"/>
      <c r="CJ212" s="15"/>
    </row>
    <row r="213" spans="1:88" s="117" customFormat="1" x14ac:dyDescent="0.25">
      <c r="A213" s="256">
        <v>41760</v>
      </c>
      <c r="B213" s="256"/>
      <c r="C213" s="229" t="s">
        <v>1775</v>
      </c>
      <c r="D213" s="161" t="s">
        <v>60</v>
      </c>
      <c r="E213" s="229" t="s">
        <v>1710</v>
      </c>
      <c r="F213" s="41" t="s">
        <v>1776</v>
      </c>
      <c r="G213" s="161"/>
      <c r="H213" s="161"/>
      <c r="I213" s="161"/>
      <c r="J213" s="161"/>
      <c r="K213" s="27"/>
      <c r="L213" s="28"/>
      <c r="M213" s="253"/>
      <c r="N213" s="253"/>
      <c r="O213" s="253"/>
      <c r="P213" s="253"/>
      <c r="Q213" s="253"/>
      <c r="R213" s="253"/>
      <c r="S213" s="253"/>
      <c r="T213" s="253"/>
      <c r="U213" s="275"/>
      <c r="V213" s="275"/>
      <c r="W213" s="27"/>
      <c r="X213" s="275"/>
      <c r="Y213" s="201"/>
      <c r="Z213" s="275"/>
      <c r="AA213" s="201"/>
      <c r="AB213" s="250"/>
      <c r="AC213" s="161"/>
      <c r="AD213" s="161"/>
      <c r="AE213" s="161"/>
      <c r="AF213" s="161"/>
      <c r="AG213" s="161"/>
      <c r="AH213" s="161"/>
      <c r="AI213" s="161"/>
      <c r="AJ213" s="161"/>
      <c r="AK213" s="240"/>
      <c r="AL213" s="161"/>
      <c r="AM213" s="161"/>
      <c r="AN213" s="161"/>
      <c r="AO213" s="161"/>
      <c r="AP213" s="161"/>
      <c r="AQ213" s="161"/>
      <c r="AR213" s="33">
        <v>100.8</v>
      </c>
      <c r="AS213" s="161"/>
      <c r="AT213" s="161"/>
      <c r="AU213" s="161"/>
      <c r="AV213" s="161"/>
      <c r="AW213" s="161"/>
      <c r="AX213" s="262" t="s">
        <v>1777</v>
      </c>
      <c r="AY213" s="262" t="s">
        <v>1778</v>
      </c>
      <c r="AZ213" s="262"/>
      <c r="BA213" s="262"/>
      <c r="BB213" s="262"/>
      <c r="BC213" s="262"/>
      <c r="BD213" s="262"/>
      <c r="BE213" s="262"/>
      <c r="BF213" s="153" t="s">
        <v>1509</v>
      </c>
      <c r="BG213" s="153"/>
      <c r="BH213" s="153"/>
      <c r="BI213" s="153"/>
      <c r="BJ213" s="153"/>
      <c r="BK213" s="153">
        <v>10.25</v>
      </c>
      <c r="BL213" s="153">
        <v>8</v>
      </c>
      <c r="BM213" s="153">
        <v>10.5</v>
      </c>
      <c r="BN213" s="157">
        <f t="shared" ref="BN213:BN228" si="67">(BM213*BL213*BK213)/1728</f>
        <v>0.4982638888888889</v>
      </c>
      <c r="BO213" s="153">
        <v>5.97</v>
      </c>
      <c r="BP213" s="360"/>
      <c r="BQ213" s="360"/>
      <c r="BR213" s="116" t="s">
        <v>733</v>
      </c>
      <c r="BS213" s="29">
        <v>1</v>
      </c>
      <c r="BT213" s="29">
        <v>22</v>
      </c>
      <c r="BU213" s="29">
        <v>4</v>
      </c>
      <c r="BV213" s="29">
        <f t="shared" ref="BV213:BV228" si="68">BS213*BT213*BU213</f>
        <v>88</v>
      </c>
      <c r="BW213" s="29">
        <f t="shared" ref="BW213:BW228" si="69">(BO213*BT213*BU213)+50</f>
        <v>575.36</v>
      </c>
      <c r="BX213" s="29" t="s">
        <v>890</v>
      </c>
      <c r="BY213" s="29" t="s">
        <v>735</v>
      </c>
      <c r="BZ213" s="254"/>
      <c r="CA213" s="254"/>
      <c r="CB213" s="254"/>
      <c r="CC213" s="15"/>
      <c r="CD213" s="15"/>
      <c r="CE213" s="15"/>
      <c r="CF213" s="15"/>
      <c r="CG213" s="15"/>
      <c r="CH213" s="15"/>
      <c r="CI213" s="15"/>
      <c r="CJ213" s="15"/>
    </row>
    <row r="214" spans="1:88" s="117" customFormat="1" x14ac:dyDescent="0.25">
      <c r="A214" s="256">
        <v>41760</v>
      </c>
      <c r="B214" s="256"/>
      <c r="C214" s="229" t="s">
        <v>1779</v>
      </c>
      <c r="D214" s="161" t="s">
        <v>60</v>
      </c>
      <c r="E214" s="229" t="s">
        <v>1710</v>
      </c>
      <c r="F214" s="32" t="s">
        <v>1780</v>
      </c>
      <c r="G214" s="161"/>
      <c r="H214" s="161"/>
      <c r="I214" s="161"/>
      <c r="J214" s="161"/>
      <c r="K214" s="27"/>
      <c r="L214" s="28"/>
      <c r="M214" s="253"/>
      <c r="N214" s="253"/>
      <c r="O214" s="253"/>
      <c r="P214" s="253"/>
      <c r="Q214" s="253"/>
      <c r="R214" s="253"/>
      <c r="S214" s="253"/>
      <c r="T214" s="253"/>
      <c r="U214" s="275"/>
      <c r="V214" s="275"/>
      <c r="W214" s="27"/>
      <c r="X214" s="275"/>
      <c r="Y214" s="201"/>
      <c r="Z214" s="275"/>
      <c r="AA214" s="201"/>
      <c r="AB214" s="250"/>
      <c r="AC214" s="161"/>
      <c r="AD214" s="161"/>
      <c r="AE214" s="161"/>
      <c r="AF214" s="161"/>
      <c r="AG214" s="161"/>
      <c r="AH214" s="161"/>
      <c r="AI214" s="161"/>
      <c r="AJ214" s="161"/>
      <c r="AK214" s="240"/>
      <c r="AL214" s="161"/>
      <c r="AM214" s="161"/>
      <c r="AN214" s="161"/>
      <c r="AO214" s="161"/>
      <c r="AP214" s="161"/>
      <c r="AQ214" s="161"/>
      <c r="AR214" s="33">
        <v>39.75</v>
      </c>
      <c r="AS214" s="161"/>
      <c r="AT214" s="161"/>
      <c r="AU214" s="161"/>
      <c r="AV214" s="161"/>
      <c r="AW214" s="161"/>
      <c r="AX214" s="262" t="s">
        <v>1781</v>
      </c>
      <c r="AY214" s="262" t="s">
        <v>1782</v>
      </c>
      <c r="AZ214" s="262"/>
      <c r="BA214" s="262"/>
      <c r="BB214" s="262"/>
      <c r="BC214" s="262"/>
      <c r="BD214" s="262"/>
      <c r="BE214" s="262"/>
      <c r="BF214" s="153" t="s">
        <v>1509</v>
      </c>
      <c r="BG214" s="153"/>
      <c r="BH214" s="153"/>
      <c r="BI214" s="153"/>
      <c r="BJ214" s="153"/>
      <c r="BK214" s="153">
        <v>9</v>
      </c>
      <c r="BL214" s="153">
        <v>9</v>
      </c>
      <c r="BM214" s="153">
        <v>8.8699999999999992</v>
      </c>
      <c r="BN214" s="157">
        <f t="shared" si="67"/>
        <v>0.41578124999999999</v>
      </c>
      <c r="BO214" s="153">
        <v>3.16</v>
      </c>
      <c r="BP214" s="360"/>
      <c r="BQ214" s="360"/>
      <c r="BR214" s="116" t="s">
        <v>733</v>
      </c>
      <c r="BS214" s="29">
        <v>1</v>
      </c>
      <c r="BT214" s="29">
        <v>20</v>
      </c>
      <c r="BU214" s="29">
        <v>5</v>
      </c>
      <c r="BV214" s="29">
        <f t="shared" si="68"/>
        <v>100</v>
      </c>
      <c r="BW214" s="29">
        <f t="shared" si="69"/>
        <v>366</v>
      </c>
      <c r="BX214" s="29" t="s">
        <v>890</v>
      </c>
      <c r="BY214" s="29" t="s">
        <v>735</v>
      </c>
      <c r="BZ214" s="254"/>
      <c r="CA214" s="254"/>
      <c r="CB214" s="254"/>
      <c r="CC214" s="15"/>
      <c r="CD214" s="15"/>
      <c r="CE214" s="15"/>
      <c r="CF214" s="15"/>
      <c r="CG214" s="15"/>
      <c r="CH214" s="15"/>
      <c r="CI214" s="15"/>
      <c r="CJ214" s="15"/>
    </row>
    <row r="215" spans="1:88" s="117" customFormat="1" x14ac:dyDescent="0.25">
      <c r="A215" s="256">
        <v>41760</v>
      </c>
      <c r="B215" s="256"/>
      <c r="C215" s="229" t="s">
        <v>1783</v>
      </c>
      <c r="D215" s="161" t="s">
        <v>60</v>
      </c>
      <c r="E215" s="229" t="s">
        <v>1710</v>
      </c>
      <c r="F215" s="32" t="s">
        <v>1784</v>
      </c>
      <c r="G215" s="161"/>
      <c r="H215" s="161"/>
      <c r="I215" s="161"/>
      <c r="J215" s="161"/>
      <c r="K215" s="41"/>
      <c r="L215" s="47"/>
      <c r="M215" s="253"/>
      <c r="N215" s="253"/>
      <c r="O215" s="253"/>
      <c r="P215" s="253"/>
      <c r="Q215" s="253"/>
      <c r="R215" s="253"/>
      <c r="S215" s="253"/>
      <c r="T215" s="253"/>
      <c r="U215" s="275"/>
      <c r="V215" s="275"/>
      <c r="W215" s="41"/>
      <c r="X215" s="275"/>
      <c r="Y215" s="166"/>
      <c r="Z215" s="275"/>
      <c r="AA215" s="166"/>
      <c r="AB215" s="250"/>
      <c r="AC215" s="161"/>
      <c r="AD215" s="161"/>
      <c r="AE215" s="161"/>
      <c r="AF215" s="161"/>
      <c r="AG215" s="161"/>
      <c r="AH215" s="161"/>
      <c r="AI215" s="161"/>
      <c r="AJ215" s="161"/>
      <c r="AK215" s="240"/>
      <c r="AL215" s="161"/>
      <c r="AM215" s="161"/>
      <c r="AN215" s="161"/>
      <c r="AO215" s="161"/>
      <c r="AP215" s="161"/>
      <c r="AQ215" s="161"/>
      <c r="AR215" s="33">
        <v>89.46</v>
      </c>
      <c r="AS215" s="161"/>
      <c r="AT215" s="161"/>
      <c r="AU215" s="161"/>
      <c r="AV215" s="161"/>
      <c r="AW215" s="161"/>
      <c r="AX215" s="251" t="s">
        <v>1785</v>
      </c>
      <c r="AY215" s="251" t="s">
        <v>1786</v>
      </c>
      <c r="AZ215" s="251"/>
      <c r="BA215" s="251"/>
      <c r="BB215" s="251"/>
      <c r="BC215" s="251"/>
      <c r="BD215" s="251"/>
      <c r="BE215" s="251"/>
      <c r="BF215" s="153" t="s">
        <v>1509</v>
      </c>
      <c r="BG215" s="153"/>
      <c r="BH215" s="153"/>
      <c r="BI215" s="153"/>
      <c r="BJ215" s="153"/>
      <c r="BK215" s="153">
        <v>8.5299999999999994</v>
      </c>
      <c r="BL215" s="153">
        <v>7.25</v>
      </c>
      <c r="BM215" s="153">
        <v>8.7799999999999994</v>
      </c>
      <c r="BN215" s="157">
        <f t="shared" si="67"/>
        <v>0.31422288773148144</v>
      </c>
      <c r="BO215" s="153">
        <v>3.79</v>
      </c>
      <c r="BP215" s="360"/>
      <c r="BQ215" s="360"/>
      <c r="BR215" s="146" t="s">
        <v>733</v>
      </c>
      <c r="BS215" s="29">
        <v>1</v>
      </c>
      <c r="BT215" s="29">
        <v>27</v>
      </c>
      <c r="BU215" s="29">
        <v>4</v>
      </c>
      <c r="BV215" s="29">
        <f t="shared" si="68"/>
        <v>108</v>
      </c>
      <c r="BW215" s="29">
        <f t="shared" si="69"/>
        <v>459.32</v>
      </c>
      <c r="BX215" s="29" t="s">
        <v>890</v>
      </c>
      <c r="BY215" s="29" t="s">
        <v>735</v>
      </c>
      <c r="BZ215" s="254"/>
      <c r="CA215" s="254"/>
      <c r="CB215" s="254"/>
      <c r="CC215" s="15"/>
      <c r="CD215" s="15"/>
      <c r="CE215" s="15"/>
      <c r="CF215" s="15"/>
      <c r="CG215" s="15"/>
      <c r="CH215" s="15"/>
      <c r="CI215" s="15"/>
      <c r="CJ215" s="15"/>
    </row>
    <row r="216" spans="1:88" s="117" customFormat="1" x14ac:dyDescent="0.25">
      <c r="A216" s="256">
        <v>41760</v>
      </c>
      <c r="B216" s="256"/>
      <c r="C216" s="229" t="s">
        <v>1787</v>
      </c>
      <c r="D216" s="161" t="s">
        <v>60</v>
      </c>
      <c r="E216" s="229" t="s">
        <v>1788</v>
      </c>
      <c r="F216" s="252" t="s">
        <v>1789</v>
      </c>
      <c r="G216" s="161" t="s">
        <v>984</v>
      </c>
      <c r="H216" s="161" t="s">
        <v>1790</v>
      </c>
      <c r="I216" s="161"/>
      <c r="J216" s="161"/>
      <c r="K216" s="41"/>
      <c r="L216" s="47"/>
      <c r="M216" s="253"/>
      <c r="N216" s="253"/>
      <c r="O216" s="253"/>
      <c r="P216" s="253"/>
      <c r="Q216" s="253"/>
      <c r="R216" s="253"/>
      <c r="S216" s="253"/>
      <c r="T216" s="253"/>
      <c r="U216" s="275" t="s">
        <v>1791</v>
      </c>
      <c r="V216" s="275"/>
      <c r="W216" s="41"/>
      <c r="X216" s="275"/>
      <c r="Y216" s="166" t="s">
        <v>1792</v>
      </c>
      <c r="Z216" s="275"/>
      <c r="AA216" s="166" t="s">
        <v>1793</v>
      </c>
      <c r="AB216" s="250"/>
      <c r="AC216" s="161"/>
      <c r="AD216" s="161"/>
      <c r="AE216" s="161"/>
      <c r="AF216" s="161"/>
      <c r="AG216" s="161"/>
      <c r="AH216" s="161"/>
      <c r="AI216" s="161"/>
      <c r="AJ216" s="161"/>
      <c r="AK216" s="240"/>
      <c r="AL216" s="161"/>
      <c r="AM216" s="161"/>
      <c r="AN216" s="161"/>
      <c r="AO216" s="161"/>
      <c r="AP216" s="161"/>
      <c r="AQ216" s="161">
        <v>57221</v>
      </c>
      <c r="AR216" s="33">
        <v>36.130000000000003</v>
      </c>
      <c r="AS216" s="161"/>
      <c r="AT216" s="161"/>
      <c r="AU216" s="161"/>
      <c r="AV216" s="161"/>
      <c r="AW216" s="161"/>
      <c r="AX216" s="251" t="s">
        <v>1794</v>
      </c>
      <c r="AY216" s="251" t="s">
        <v>1795</v>
      </c>
      <c r="AZ216" s="251"/>
      <c r="BA216" s="251"/>
      <c r="BB216" s="251"/>
      <c r="BC216" s="251"/>
      <c r="BD216" s="251"/>
      <c r="BE216" s="251"/>
      <c r="BF216" s="153">
        <v>4.3125</v>
      </c>
      <c r="BG216" s="153">
        <v>4.3129999999999997</v>
      </c>
      <c r="BH216" s="153">
        <v>6.75</v>
      </c>
      <c r="BI216" s="157">
        <f>(BH216*BG216*BF216)/1728</f>
        <v>7.2655517578124995E-2</v>
      </c>
      <c r="BJ216" s="153">
        <v>2.37</v>
      </c>
      <c r="BK216" s="153">
        <v>13.680999999999999</v>
      </c>
      <c r="BL216" s="153">
        <v>9.2434999999999992</v>
      </c>
      <c r="BM216" s="153">
        <v>7.6120000000000001</v>
      </c>
      <c r="BN216" s="157">
        <f t="shared" si="67"/>
        <v>0.55706943430671285</v>
      </c>
      <c r="BO216" s="153">
        <f>BJ216*BS216+0.25</f>
        <v>14.47</v>
      </c>
      <c r="BP216" s="360"/>
      <c r="BQ216" s="360"/>
      <c r="BR216" s="146" t="s">
        <v>733</v>
      </c>
      <c r="BS216" s="29">
        <v>6</v>
      </c>
      <c r="BT216" s="29">
        <v>13</v>
      </c>
      <c r="BU216" s="29">
        <v>6</v>
      </c>
      <c r="BV216" s="29">
        <f t="shared" si="68"/>
        <v>468</v>
      </c>
      <c r="BW216" s="29">
        <f t="shared" si="69"/>
        <v>1178.6600000000001</v>
      </c>
      <c r="BX216" s="278" t="s">
        <v>890</v>
      </c>
      <c r="BY216" s="29" t="s">
        <v>735</v>
      </c>
      <c r="BZ216" s="254"/>
      <c r="CA216" s="254"/>
      <c r="CB216" s="254"/>
      <c r="CC216" s="15"/>
      <c r="CD216" s="15"/>
      <c r="CE216" s="15"/>
      <c r="CF216" s="15"/>
      <c r="CG216" s="15"/>
      <c r="CH216" s="15"/>
      <c r="CI216" s="15"/>
      <c r="CJ216" s="15"/>
    </row>
    <row r="217" spans="1:88" s="117" customFormat="1" ht="30" x14ac:dyDescent="0.25">
      <c r="A217" s="256">
        <v>41760</v>
      </c>
      <c r="B217" s="256"/>
      <c r="C217" s="229" t="s">
        <v>1796</v>
      </c>
      <c r="D217" s="161" t="s">
        <v>60</v>
      </c>
      <c r="E217" s="229" t="s">
        <v>1079</v>
      </c>
      <c r="F217" s="252" t="s">
        <v>1797</v>
      </c>
      <c r="G217" s="161" t="s">
        <v>1148</v>
      </c>
      <c r="H217" s="161" t="s">
        <v>1798</v>
      </c>
      <c r="I217" s="161" t="s">
        <v>1148</v>
      </c>
      <c r="J217" s="161" t="s">
        <v>1799</v>
      </c>
      <c r="K217" s="41"/>
      <c r="L217" s="47"/>
      <c r="M217" s="253"/>
      <c r="N217" s="253"/>
      <c r="O217" s="253"/>
      <c r="P217" s="253"/>
      <c r="Q217" s="253"/>
      <c r="R217" s="253"/>
      <c r="S217" s="253"/>
      <c r="T217" s="253"/>
      <c r="U217" s="275"/>
      <c r="V217" s="275"/>
      <c r="W217" s="41">
        <v>84669</v>
      </c>
      <c r="X217" s="275"/>
      <c r="Y217" s="166"/>
      <c r="Z217" s="275"/>
      <c r="AA217" s="166"/>
      <c r="AB217" s="250"/>
      <c r="AC217" s="161"/>
      <c r="AD217" s="161"/>
      <c r="AE217" s="161"/>
      <c r="AF217" s="161"/>
      <c r="AG217" s="161"/>
      <c r="AH217" s="161"/>
      <c r="AI217" s="161"/>
      <c r="AJ217" s="161"/>
      <c r="AK217" s="240">
        <v>7669</v>
      </c>
      <c r="AL217" s="161"/>
      <c r="AM217" s="161"/>
      <c r="AN217" s="161"/>
      <c r="AO217" s="161"/>
      <c r="AP217" s="161"/>
      <c r="AQ217" s="161">
        <v>57669</v>
      </c>
      <c r="AR217" s="33">
        <v>28.33</v>
      </c>
      <c r="AS217" s="161"/>
      <c r="AT217" s="161"/>
      <c r="AU217" s="161"/>
      <c r="AV217" s="161"/>
      <c r="AW217" s="161"/>
      <c r="AX217" s="262" t="s">
        <v>1800</v>
      </c>
      <c r="AY217" s="262" t="s">
        <v>1801</v>
      </c>
      <c r="AZ217" s="262"/>
      <c r="BA217" s="262"/>
      <c r="BB217" s="262"/>
      <c r="BC217" s="262"/>
      <c r="BD217" s="262"/>
      <c r="BE217" s="262"/>
      <c r="BF217" s="451" t="s">
        <v>1509</v>
      </c>
      <c r="BG217" s="451"/>
      <c r="BH217" s="451"/>
      <c r="BI217" s="451"/>
      <c r="BJ217" s="451"/>
      <c r="BK217" s="153">
        <v>19.125</v>
      </c>
      <c r="BL217" s="153">
        <v>14.494999999999999</v>
      </c>
      <c r="BM217" s="153">
        <v>10.37</v>
      </c>
      <c r="BN217" s="157">
        <f t="shared" si="67"/>
        <v>1.6636221028645832</v>
      </c>
      <c r="BO217" s="153">
        <f>2.12*BS217+0.4</f>
        <v>25.84</v>
      </c>
      <c r="BP217" s="360"/>
      <c r="BQ217" s="360"/>
      <c r="BR217" s="116" t="s">
        <v>733</v>
      </c>
      <c r="BS217" s="29">
        <v>12</v>
      </c>
      <c r="BT217" s="29">
        <v>6</v>
      </c>
      <c r="BU217" s="29">
        <v>4</v>
      </c>
      <c r="BV217" s="29">
        <f t="shared" si="68"/>
        <v>288</v>
      </c>
      <c r="BW217" s="29">
        <f t="shared" si="69"/>
        <v>670.16</v>
      </c>
      <c r="BX217" s="29" t="s">
        <v>890</v>
      </c>
      <c r="BY217" s="29" t="s">
        <v>735</v>
      </c>
      <c r="BZ217" s="254"/>
      <c r="CA217" s="254"/>
      <c r="CB217" s="254"/>
      <c r="CC217" s="15"/>
      <c r="CD217" s="15"/>
      <c r="CE217" s="15"/>
      <c r="CF217" s="15"/>
      <c r="CG217" s="15"/>
      <c r="CH217" s="15"/>
      <c r="CI217" s="15"/>
      <c r="CJ217" s="15"/>
    </row>
    <row r="218" spans="1:88" s="117" customFormat="1" x14ac:dyDescent="0.25">
      <c r="A218" s="256">
        <v>41760</v>
      </c>
      <c r="B218" s="256"/>
      <c r="C218" s="229" t="s">
        <v>1802</v>
      </c>
      <c r="D218" s="229" t="s">
        <v>746</v>
      </c>
      <c r="E218" s="229" t="s">
        <v>1803</v>
      </c>
      <c r="F218" s="252" t="s">
        <v>1804</v>
      </c>
      <c r="G218" s="161" t="s">
        <v>1042</v>
      </c>
      <c r="H218" s="161" t="s">
        <v>1805</v>
      </c>
      <c r="I218" s="161"/>
      <c r="J218" s="161"/>
      <c r="K218" s="41"/>
      <c r="L218" s="47"/>
      <c r="M218" s="253"/>
      <c r="N218" s="253"/>
      <c r="O218" s="253"/>
      <c r="P218" s="253"/>
      <c r="Q218" s="253"/>
      <c r="R218" s="253"/>
      <c r="S218" s="253"/>
      <c r="T218" s="253"/>
      <c r="U218" s="275"/>
      <c r="V218" s="275"/>
      <c r="W218" s="41"/>
      <c r="X218" s="275"/>
      <c r="Y218" s="166"/>
      <c r="Z218" s="275"/>
      <c r="AA218" s="166"/>
      <c r="AB218" s="250" t="s">
        <v>1806</v>
      </c>
      <c r="AC218" s="161"/>
      <c r="AD218" s="161"/>
      <c r="AE218" s="161" t="s">
        <v>1807</v>
      </c>
      <c r="AF218" s="161"/>
      <c r="AG218" s="161"/>
      <c r="AH218" s="161"/>
      <c r="AI218" s="161"/>
      <c r="AJ218" s="161"/>
      <c r="AK218" s="240"/>
      <c r="AL218" s="161" t="s">
        <v>1808</v>
      </c>
      <c r="AM218" s="161"/>
      <c r="AN218" s="161" t="s">
        <v>1809</v>
      </c>
      <c r="AO218" s="161"/>
      <c r="AP218" s="161" t="s">
        <v>1810</v>
      </c>
      <c r="AQ218" s="161">
        <v>49008</v>
      </c>
      <c r="AR218" s="33">
        <v>29.47</v>
      </c>
      <c r="AS218" s="161"/>
      <c r="AT218" s="161"/>
      <c r="AU218" s="161"/>
      <c r="AV218" s="161"/>
      <c r="AW218" s="161"/>
      <c r="AX218" s="251" t="s">
        <v>1811</v>
      </c>
      <c r="AY218" s="251" t="s">
        <v>1812</v>
      </c>
      <c r="AZ218" s="251"/>
      <c r="BA218" s="251"/>
      <c r="BB218" s="251"/>
      <c r="BC218" s="251"/>
      <c r="BD218" s="251"/>
      <c r="BE218" s="251"/>
      <c r="BF218" s="153">
        <v>8.6560000000000006</v>
      </c>
      <c r="BG218" s="153">
        <v>2.286</v>
      </c>
      <c r="BH218" s="153">
        <v>13.942</v>
      </c>
      <c r="BI218" s="157">
        <f>(BH218*BG218*BF218)/1728</f>
        <v>0.15965216566666668</v>
      </c>
      <c r="BJ218" s="153">
        <v>0.35</v>
      </c>
      <c r="BK218" s="153">
        <v>14.5</v>
      </c>
      <c r="BL218" s="153">
        <v>9.25</v>
      </c>
      <c r="BM218" s="153">
        <v>7.5</v>
      </c>
      <c r="BN218" s="157">
        <f t="shared" si="67"/>
        <v>0.58213975694444442</v>
      </c>
      <c r="BO218" s="153">
        <f>BJ218*BS218</f>
        <v>1.0499999999999998</v>
      </c>
      <c r="BP218" s="360"/>
      <c r="BQ218" s="360"/>
      <c r="BR218" s="146" t="s">
        <v>733</v>
      </c>
      <c r="BS218" s="29">
        <v>3</v>
      </c>
      <c r="BT218" s="29">
        <v>13</v>
      </c>
      <c r="BU218" s="29">
        <v>5</v>
      </c>
      <c r="BV218" s="29">
        <f t="shared" si="68"/>
        <v>195</v>
      </c>
      <c r="BW218" s="29">
        <f t="shared" si="69"/>
        <v>118.25</v>
      </c>
      <c r="BX218" s="278" t="s">
        <v>743</v>
      </c>
      <c r="BY218" s="29" t="s">
        <v>735</v>
      </c>
      <c r="BZ218" s="254"/>
      <c r="CA218" s="254"/>
      <c r="CB218" s="254"/>
      <c r="CC218" s="15"/>
      <c r="CD218" s="15"/>
      <c r="CE218" s="15"/>
      <c r="CF218" s="15"/>
      <c r="CG218" s="15"/>
      <c r="CH218" s="15"/>
      <c r="CI218" s="15"/>
      <c r="CJ218" s="15"/>
    </row>
    <row r="219" spans="1:88" s="117" customFormat="1" x14ac:dyDescent="0.25">
      <c r="A219" s="256">
        <v>41760</v>
      </c>
      <c r="B219" s="256"/>
      <c r="C219" s="229" t="s">
        <v>1813</v>
      </c>
      <c r="D219" s="229" t="s">
        <v>746</v>
      </c>
      <c r="E219" s="229" t="s">
        <v>1110</v>
      </c>
      <c r="F219" s="252" t="s">
        <v>1814</v>
      </c>
      <c r="G219" s="161" t="s">
        <v>748</v>
      </c>
      <c r="H219" s="161">
        <v>92234714</v>
      </c>
      <c r="I219" s="161" t="s">
        <v>749</v>
      </c>
      <c r="J219" s="161" t="s">
        <v>1815</v>
      </c>
      <c r="K219" s="41"/>
      <c r="L219" s="47"/>
      <c r="M219" s="253"/>
      <c r="N219" s="253"/>
      <c r="O219" s="253"/>
      <c r="P219" s="253"/>
      <c r="Q219" s="253"/>
      <c r="R219" s="253"/>
      <c r="S219" s="253"/>
      <c r="T219" s="253"/>
      <c r="U219" s="275"/>
      <c r="V219" s="275"/>
      <c r="W219" s="41"/>
      <c r="X219" s="275"/>
      <c r="Y219" s="166"/>
      <c r="Z219" s="275"/>
      <c r="AA219" s="166"/>
      <c r="AB219" s="250" t="s">
        <v>1816</v>
      </c>
      <c r="AC219" s="161"/>
      <c r="AD219" s="161"/>
      <c r="AE219" s="161"/>
      <c r="AF219" s="161"/>
      <c r="AG219" s="161"/>
      <c r="AH219" s="161"/>
      <c r="AI219" s="161" t="s">
        <v>1817</v>
      </c>
      <c r="AJ219" s="161"/>
      <c r="AK219" s="240"/>
      <c r="AL219" s="161" t="s">
        <v>1818</v>
      </c>
      <c r="AM219" s="161" t="s">
        <v>1817</v>
      </c>
      <c r="AN219" s="161" t="s">
        <v>1818</v>
      </c>
      <c r="AO219" s="161"/>
      <c r="AP219" s="161" t="s">
        <v>1819</v>
      </c>
      <c r="AQ219" s="161">
        <v>24014</v>
      </c>
      <c r="AR219" s="33">
        <v>19.600000000000001</v>
      </c>
      <c r="AS219" s="161"/>
      <c r="AT219" s="161"/>
      <c r="AU219" s="161"/>
      <c r="AV219" s="161"/>
      <c r="AW219" s="161"/>
      <c r="AX219" s="251" t="s">
        <v>1820</v>
      </c>
      <c r="AY219" s="251" t="s">
        <v>1821</v>
      </c>
      <c r="AZ219" s="251"/>
      <c r="BA219" s="251"/>
      <c r="BB219" s="251"/>
      <c r="BC219" s="251"/>
      <c r="BD219" s="251"/>
      <c r="BE219" s="251"/>
      <c r="BF219" s="153" t="s">
        <v>1509</v>
      </c>
      <c r="BG219" s="153"/>
      <c r="BH219" s="153"/>
      <c r="BI219" s="153"/>
      <c r="BJ219" s="153"/>
      <c r="BK219" s="153">
        <v>11.38</v>
      </c>
      <c r="BL219" s="153">
        <v>10.5</v>
      </c>
      <c r="BM219" s="153">
        <v>6.13</v>
      </c>
      <c r="BN219" s="157">
        <f t="shared" si="67"/>
        <v>0.42388524305555558</v>
      </c>
      <c r="BO219" s="153">
        <f>0.72*BS219+0.25</f>
        <v>4.57</v>
      </c>
      <c r="BP219" s="360"/>
      <c r="BQ219" s="360"/>
      <c r="BR219" s="146" t="s">
        <v>733</v>
      </c>
      <c r="BS219" s="29">
        <v>6</v>
      </c>
      <c r="BT219" s="29">
        <v>12</v>
      </c>
      <c r="BU219" s="29">
        <v>6</v>
      </c>
      <c r="BV219" s="29">
        <f t="shared" si="68"/>
        <v>432</v>
      </c>
      <c r="BW219" s="29">
        <f t="shared" si="69"/>
        <v>379.04</v>
      </c>
      <c r="BX219" s="278" t="s">
        <v>743</v>
      </c>
      <c r="BY219" s="29" t="s">
        <v>735</v>
      </c>
      <c r="BZ219" s="254"/>
      <c r="CA219" s="254"/>
      <c r="CB219" s="254"/>
      <c r="CC219" s="15"/>
      <c r="CD219" s="15"/>
      <c r="CE219" s="15"/>
      <c r="CF219" s="15"/>
      <c r="CG219" s="15"/>
      <c r="CH219" s="15"/>
      <c r="CI219" s="15"/>
      <c r="CJ219" s="15"/>
    </row>
    <row r="220" spans="1:88" s="117" customFormat="1" x14ac:dyDescent="0.25">
      <c r="A220" s="256">
        <v>41760</v>
      </c>
      <c r="B220" s="256"/>
      <c r="C220" s="229" t="s">
        <v>1822</v>
      </c>
      <c r="D220" s="229" t="s">
        <v>746</v>
      </c>
      <c r="E220" s="229" t="s">
        <v>1803</v>
      </c>
      <c r="F220" s="252" t="s">
        <v>1823</v>
      </c>
      <c r="G220" s="161" t="s">
        <v>748</v>
      </c>
      <c r="H220" s="161">
        <v>20862288</v>
      </c>
      <c r="I220" s="161" t="s">
        <v>749</v>
      </c>
      <c r="J220" s="161" t="s">
        <v>1824</v>
      </c>
      <c r="K220" s="41"/>
      <c r="L220" s="47"/>
      <c r="M220" s="253"/>
      <c r="N220" s="253"/>
      <c r="O220" s="253"/>
      <c r="P220" s="253"/>
      <c r="Q220" s="253"/>
      <c r="R220" s="253"/>
      <c r="S220" s="253"/>
      <c r="T220" s="253"/>
      <c r="U220" s="275" t="s">
        <v>1825</v>
      </c>
      <c r="V220" s="275"/>
      <c r="W220" s="41"/>
      <c r="X220" s="275"/>
      <c r="Y220" s="166"/>
      <c r="Z220" s="275"/>
      <c r="AA220" s="166"/>
      <c r="AB220" s="250" t="s">
        <v>1826</v>
      </c>
      <c r="AC220" s="161"/>
      <c r="AD220" s="161"/>
      <c r="AE220" s="161" t="s">
        <v>1827</v>
      </c>
      <c r="AF220" s="161"/>
      <c r="AG220" s="161"/>
      <c r="AH220" s="161"/>
      <c r="AI220" s="161"/>
      <c r="AJ220" s="161"/>
      <c r="AK220" s="240"/>
      <c r="AL220" s="161" t="s">
        <v>1828</v>
      </c>
      <c r="AM220" s="161" t="s">
        <v>1829</v>
      </c>
      <c r="AN220" s="161" t="s">
        <v>1830</v>
      </c>
      <c r="AO220" s="161"/>
      <c r="AP220" s="161" t="s">
        <v>1831</v>
      </c>
      <c r="AQ220" s="161">
        <v>49288</v>
      </c>
      <c r="AR220" s="33">
        <v>27.59</v>
      </c>
      <c r="AS220" s="161"/>
      <c r="AT220" s="161"/>
      <c r="AU220" s="161"/>
      <c r="AV220" s="161"/>
      <c r="AW220" s="161"/>
      <c r="AX220" s="251" t="s">
        <v>1832</v>
      </c>
      <c r="AY220" s="251" t="s">
        <v>1833</v>
      </c>
      <c r="AZ220" s="251"/>
      <c r="BA220" s="251"/>
      <c r="BB220" s="251"/>
      <c r="BC220" s="251"/>
      <c r="BD220" s="251"/>
      <c r="BE220" s="251"/>
      <c r="BF220" s="153">
        <v>7.7859999999999996</v>
      </c>
      <c r="BG220" s="153">
        <v>2.536</v>
      </c>
      <c r="BH220" s="153">
        <v>12.821999999999999</v>
      </c>
      <c r="BI220" s="157">
        <f>(BH220*BG220*BF220)/1728</f>
        <v>0.14651283872222221</v>
      </c>
      <c r="BJ220" s="153">
        <v>0.56999999999999995</v>
      </c>
      <c r="BK220" s="153">
        <v>13.5</v>
      </c>
      <c r="BL220" s="153">
        <v>8.25</v>
      </c>
      <c r="BM220" s="153">
        <v>8.5</v>
      </c>
      <c r="BN220" s="157">
        <f t="shared" si="67"/>
        <v>0.5478515625</v>
      </c>
      <c r="BO220" s="153">
        <f>BJ220*BS220+0.25</f>
        <v>1.96</v>
      </c>
      <c r="BP220" s="360"/>
      <c r="BQ220" s="360"/>
      <c r="BR220" s="146" t="s">
        <v>733</v>
      </c>
      <c r="BS220" s="29">
        <v>3</v>
      </c>
      <c r="BT220" s="29">
        <v>14</v>
      </c>
      <c r="BU220" s="29">
        <v>5</v>
      </c>
      <c r="BV220" s="29">
        <f t="shared" si="68"/>
        <v>210</v>
      </c>
      <c r="BW220" s="29">
        <f t="shared" si="69"/>
        <v>187.2</v>
      </c>
      <c r="BX220" s="278" t="s">
        <v>890</v>
      </c>
      <c r="BY220" s="29" t="s">
        <v>735</v>
      </c>
      <c r="BZ220" s="254"/>
      <c r="CA220" s="254"/>
      <c r="CB220" s="254"/>
      <c r="CC220" s="15"/>
      <c r="CD220" s="15"/>
      <c r="CE220" s="15"/>
      <c r="CF220" s="15"/>
      <c r="CG220" s="15"/>
      <c r="CH220" s="15"/>
      <c r="CI220" s="15"/>
      <c r="CJ220" s="15"/>
    </row>
    <row r="221" spans="1:88" s="117" customFormat="1" x14ac:dyDescent="0.25">
      <c r="A221" s="256">
        <v>41760</v>
      </c>
      <c r="B221" s="256"/>
      <c r="C221" s="229" t="s">
        <v>1834</v>
      </c>
      <c r="D221" s="161" t="s">
        <v>720</v>
      </c>
      <c r="E221" s="229" t="s">
        <v>1803</v>
      </c>
      <c r="F221" s="252" t="s">
        <v>1835</v>
      </c>
      <c r="G221" s="240" t="s">
        <v>1836</v>
      </c>
      <c r="H221" s="161">
        <v>8970687830</v>
      </c>
      <c r="I221" s="161"/>
      <c r="J221" s="161"/>
      <c r="K221" s="41"/>
      <c r="L221" s="47"/>
      <c r="M221" s="253"/>
      <c r="N221" s="253"/>
      <c r="O221" s="253"/>
      <c r="P221" s="253"/>
      <c r="Q221" s="253"/>
      <c r="R221" s="253"/>
      <c r="S221" s="253"/>
      <c r="T221" s="253"/>
      <c r="U221" s="275"/>
      <c r="V221" s="275"/>
      <c r="W221" s="41">
        <v>83211</v>
      </c>
      <c r="X221" s="275"/>
      <c r="Y221" s="166"/>
      <c r="Z221" s="275"/>
      <c r="AA221" s="166"/>
      <c r="AB221" s="250" t="s">
        <v>1837</v>
      </c>
      <c r="AC221" s="161"/>
      <c r="AD221" s="161"/>
      <c r="AE221" s="161" t="s">
        <v>1838</v>
      </c>
      <c r="AF221" s="161"/>
      <c r="AG221" s="161"/>
      <c r="AH221" s="161"/>
      <c r="AI221" s="161"/>
      <c r="AJ221" s="161"/>
      <c r="AK221" s="240">
        <v>9211</v>
      </c>
      <c r="AL221" s="161" t="s">
        <v>1839</v>
      </c>
      <c r="AM221" s="161"/>
      <c r="AN221" s="161" t="s">
        <v>1840</v>
      </c>
      <c r="AO221" s="161"/>
      <c r="AP221" s="161" t="s">
        <v>1841</v>
      </c>
      <c r="AQ221" s="161">
        <v>49211</v>
      </c>
      <c r="AR221" s="33">
        <v>16.670000000000002</v>
      </c>
      <c r="AS221" s="161"/>
      <c r="AT221" s="161"/>
      <c r="AU221" s="161"/>
      <c r="AV221" s="161"/>
      <c r="AW221" s="161"/>
      <c r="AX221" s="251" t="s">
        <v>1842</v>
      </c>
      <c r="AY221" s="251" t="s">
        <v>1843</v>
      </c>
      <c r="AZ221" s="251"/>
      <c r="BA221" s="251"/>
      <c r="BB221" s="251"/>
      <c r="BC221" s="251"/>
      <c r="BD221" s="251"/>
      <c r="BE221" s="251"/>
      <c r="BF221" s="153">
        <v>10.036</v>
      </c>
      <c r="BG221" s="153">
        <v>2.536</v>
      </c>
      <c r="BH221" s="153">
        <v>12.571999999999999</v>
      </c>
      <c r="BI221" s="157">
        <f>(BH221*BG221*BF221)/1728</f>
        <v>0.18516996140740738</v>
      </c>
      <c r="BJ221" s="153">
        <v>0.88</v>
      </c>
      <c r="BK221" s="153">
        <v>13.25</v>
      </c>
      <c r="BL221" s="153">
        <v>11</v>
      </c>
      <c r="BM221" s="153">
        <v>9</v>
      </c>
      <c r="BN221" s="157">
        <f t="shared" si="67"/>
        <v>0.75911458333333337</v>
      </c>
      <c r="BO221" s="153">
        <f>BJ221*BS221+0.25</f>
        <v>2.89</v>
      </c>
      <c r="BP221" s="360"/>
      <c r="BQ221" s="360"/>
      <c r="BR221" s="146" t="s">
        <v>733</v>
      </c>
      <c r="BS221" s="29">
        <v>3</v>
      </c>
      <c r="BT221" s="29">
        <v>12</v>
      </c>
      <c r="BU221" s="29">
        <v>4</v>
      </c>
      <c r="BV221" s="29">
        <f t="shared" si="68"/>
        <v>144</v>
      </c>
      <c r="BW221" s="29">
        <f t="shared" si="69"/>
        <v>188.72</v>
      </c>
      <c r="BX221" s="29" t="s">
        <v>743</v>
      </c>
      <c r="BY221" s="29" t="s">
        <v>735</v>
      </c>
      <c r="BZ221" s="254"/>
      <c r="CA221" s="254"/>
      <c r="CB221" s="254"/>
      <c r="CC221" s="15"/>
      <c r="CD221" s="15"/>
      <c r="CE221" s="15"/>
      <c r="CF221" s="15"/>
      <c r="CG221" s="15"/>
      <c r="CH221" s="15"/>
      <c r="CI221" s="15"/>
      <c r="CJ221" s="15"/>
    </row>
    <row r="222" spans="1:88" s="117" customFormat="1" x14ac:dyDescent="0.25">
      <c r="A222" s="256">
        <v>41760</v>
      </c>
      <c r="B222" s="256"/>
      <c r="C222" s="229" t="s">
        <v>1844</v>
      </c>
      <c r="D222" s="161" t="s">
        <v>720</v>
      </c>
      <c r="E222" s="229" t="s">
        <v>1803</v>
      </c>
      <c r="F222" s="252" t="s">
        <v>1845</v>
      </c>
      <c r="G222" s="161" t="s">
        <v>1007</v>
      </c>
      <c r="H222" s="161" t="s">
        <v>1846</v>
      </c>
      <c r="I222" s="161"/>
      <c r="J222" s="161"/>
      <c r="K222" s="27"/>
      <c r="L222" s="28"/>
      <c r="M222" s="253"/>
      <c r="N222" s="253"/>
      <c r="O222" s="253"/>
      <c r="P222" s="253"/>
      <c r="Q222" s="253"/>
      <c r="R222" s="253"/>
      <c r="S222" s="253"/>
      <c r="T222" s="253"/>
      <c r="U222" s="275"/>
      <c r="V222" s="275"/>
      <c r="W222" s="27">
        <v>83048</v>
      </c>
      <c r="X222" s="275"/>
      <c r="Y222" s="201"/>
      <c r="Z222" s="275"/>
      <c r="AA222" s="201"/>
      <c r="AB222" s="250" t="s">
        <v>1847</v>
      </c>
      <c r="AC222" s="161" t="s">
        <v>1848</v>
      </c>
      <c r="AD222" s="161"/>
      <c r="AE222" s="161" t="s">
        <v>1849</v>
      </c>
      <c r="AF222" s="161"/>
      <c r="AG222" s="161"/>
      <c r="AH222" s="161"/>
      <c r="AI222" s="161"/>
      <c r="AJ222" s="161"/>
      <c r="AK222" s="240">
        <v>9048</v>
      </c>
      <c r="AL222" s="161" t="s">
        <v>1850</v>
      </c>
      <c r="AM222" s="161"/>
      <c r="AN222" s="161" t="s">
        <v>1851</v>
      </c>
      <c r="AO222" s="161"/>
      <c r="AP222" s="161" t="s">
        <v>1852</v>
      </c>
      <c r="AQ222" s="161">
        <v>49048</v>
      </c>
      <c r="AR222" s="33">
        <v>16.25</v>
      </c>
      <c r="AS222" s="161"/>
      <c r="AT222" s="161"/>
      <c r="AU222" s="161"/>
      <c r="AV222" s="161"/>
      <c r="AW222" s="161"/>
      <c r="AX222" s="251" t="s">
        <v>1853</v>
      </c>
      <c r="AY222" s="251" t="s">
        <v>1854</v>
      </c>
      <c r="AZ222" s="251"/>
      <c r="BA222" s="251"/>
      <c r="BB222" s="251"/>
      <c r="BC222" s="251"/>
      <c r="BD222" s="251"/>
      <c r="BE222" s="251"/>
      <c r="BF222" s="153">
        <v>7.0359999999999996</v>
      </c>
      <c r="BG222" s="153">
        <v>2.6560000000000001</v>
      </c>
      <c r="BH222" s="153">
        <v>15.321999999999999</v>
      </c>
      <c r="BI222" s="157">
        <f>(BH222*BG222*BF222)/1728</f>
        <v>0.16570118770370368</v>
      </c>
      <c r="BJ222" s="153">
        <v>0.45</v>
      </c>
      <c r="BK222" s="153">
        <v>15.75</v>
      </c>
      <c r="BL222" s="153">
        <v>7.5</v>
      </c>
      <c r="BM222" s="153">
        <v>8.8800000000000008</v>
      </c>
      <c r="BN222" s="157">
        <f t="shared" si="67"/>
        <v>0.60703125000000002</v>
      </c>
      <c r="BO222" s="153">
        <f>BJ222*BS222+0.25</f>
        <v>1.6</v>
      </c>
      <c r="BP222" s="360"/>
      <c r="BQ222" s="360"/>
      <c r="BR222" s="116" t="s">
        <v>733</v>
      </c>
      <c r="BS222" s="29">
        <v>3</v>
      </c>
      <c r="BT222" s="29">
        <v>15</v>
      </c>
      <c r="BU222" s="29">
        <v>5</v>
      </c>
      <c r="BV222" s="29">
        <f t="shared" si="68"/>
        <v>225</v>
      </c>
      <c r="BW222" s="29">
        <f t="shared" si="69"/>
        <v>170</v>
      </c>
      <c r="BX222" s="29" t="s">
        <v>890</v>
      </c>
      <c r="BY222" s="29" t="s">
        <v>735</v>
      </c>
      <c r="BZ222" s="254"/>
      <c r="CA222" s="254"/>
      <c r="CB222" s="254"/>
      <c r="CC222" s="15"/>
      <c r="CD222" s="15"/>
      <c r="CE222" s="15"/>
      <c r="CF222" s="15"/>
      <c r="CG222" s="15"/>
      <c r="CH222" s="15"/>
      <c r="CI222" s="15"/>
      <c r="CJ222" s="15"/>
    </row>
    <row r="223" spans="1:88" s="117" customFormat="1" x14ac:dyDescent="0.25">
      <c r="A223" s="256">
        <v>41730</v>
      </c>
      <c r="B223" s="256"/>
      <c r="C223" s="161" t="s">
        <v>1855</v>
      </c>
      <c r="D223" s="161" t="s">
        <v>60</v>
      </c>
      <c r="E223" s="229" t="s">
        <v>1788</v>
      </c>
      <c r="F223" s="252" t="s">
        <v>1856</v>
      </c>
      <c r="G223" s="161" t="s">
        <v>840</v>
      </c>
      <c r="H223" s="161" t="s">
        <v>1857</v>
      </c>
      <c r="I223" s="161" t="s">
        <v>984</v>
      </c>
      <c r="J223" s="161" t="s">
        <v>1858</v>
      </c>
      <c r="K223" s="161"/>
      <c r="L223" s="161"/>
      <c r="M223" s="161"/>
      <c r="N223" s="161"/>
      <c r="O223" s="161"/>
      <c r="P223" s="161"/>
      <c r="Q223" s="253"/>
      <c r="R223" s="253"/>
      <c r="S223" s="253"/>
      <c r="T223" s="253"/>
      <c r="U223" s="275" t="s">
        <v>1859</v>
      </c>
      <c r="V223" s="275"/>
      <c r="W223" s="27"/>
      <c r="X223" s="275"/>
      <c r="Y223" s="201" t="s">
        <v>1860</v>
      </c>
      <c r="Z223" s="275"/>
      <c r="AA223" s="201" t="s">
        <v>1861</v>
      </c>
      <c r="AB223" s="250"/>
      <c r="AC223" s="161"/>
      <c r="AD223" s="161"/>
      <c r="AE223" s="161"/>
      <c r="AF223" s="161"/>
      <c r="AG223" s="161"/>
      <c r="AH223" s="161"/>
      <c r="AI223" s="161"/>
      <c r="AJ223" s="161"/>
      <c r="AK223" s="240"/>
      <c r="AL223" s="161"/>
      <c r="AM223" s="161"/>
      <c r="AN223" s="161"/>
      <c r="AO223" s="161"/>
      <c r="AP223" s="161"/>
      <c r="AQ223" s="161"/>
      <c r="AR223" s="33">
        <v>261.37</v>
      </c>
      <c r="AS223" s="161"/>
      <c r="AT223" s="161"/>
      <c r="AU223" s="161"/>
      <c r="AV223" s="161"/>
      <c r="AW223" s="161"/>
      <c r="AX223" s="262" t="s">
        <v>1862</v>
      </c>
      <c r="AY223" s="262" t="s">
        <v>1863</v>
      </c>
      <c r="AZ223" s="262"/>
      <c r="BA223" s="262"/>
      <c r="BB223" s="262"/>
      <c r="BC223" s="262"/>
      <c r="BD223" s="262"/>
      <c r="BE223" s="262"/>
      <c r="BF223" s="456" t="s">
        <v>989</v>
      </c>
      <c r="BG223" s="456"/>
      <c r="BH223" s="456"/>
      <c r="BI223" s="456"/>
      <c r="BJ223" s="456"/>
      <c r="BK223" s="153">
        <v>21.25</v>
      </c>
      <c r="BL223" s="153">
        <v>5.25</v>
      </c>
      <c r="BM223" s="153">
        <v>7.12</v>
      </c>
      <c r="BN223" s="157">
        <f t="shared" si="67"/>
        <v>0.4596788194444445</v>
      </c>
      <c r="BO223" s="153">
        <v>5.4</v>
      </c>
      <c r="BP223" s="360"/>
      <c r="BQ223" s="360"/>
      <c r="BR223" s="116" t="s">
        <v>733</v>
      </c>
      <c r="BS223" s="29">
        <v>1</v>
      </c>
      <c r="BT223" s="29">
        <v>45</v>
      </c>
      <c r="BU223" s="29">
        <v>2</v>
      </c>
      <c r="BV223" s="29">
        <f t="shared" si="68"/>
        <v>90</v>
      </c>
      <c r="BW223" s="29">
        <f t="shared" si="69"/>
        <v>536</v>
      </c>
      <c r="BX223" s="279" t="s">
        <v>890</v>
      </c>
      <c r="BY223" s="29" t="s">
        <v>735</v>
      </c>
      <c r="BZ223" s="254"/>
      <c r="CA223" s="254"/>
      <c r="CB223" s="254"/>
      <c r="CC223" s="15"/>
      <c r="CD223" s="15"/>
      <c r="CE223" s="15"/>
      <c r="CF223" s="15"/>
      <c r="CG223" s="15"/>
      <c r="CH223" s="15"/>
      <c r="CI223" s="15"/>
      <c r="CJ223" s="15"/>
    </row>
    <row r="224" spans="1:88" s="117" customFormat="1" x14ac:dyDescent="0.25">
      <c r="A224" s="256">
        <v>41730</v>
      </c>
      <c r="B224" s="256"/>
      <c r="C224" s="161" t="s">
        <v>1864</v>
      </c>
      <c r="D224" s="161" t="s">
        <v>746</v>
      </c>
      <c r="E224" s="229" t="s">
        <v>1865</v>
      </c>
      <c r="F224" s="252" t="s">
        <v>1866</v>
      </c>
      <c r="G224" s="161" t="s">
        <v>1867</v>
      </c>
      <c r="H224" s="161" t="s">
        <v>1868</v>
      </c>
      <c r="I224" s="207" t="s">
        <v>1537</v>
      </c>
      <c r="J224" s="27" t="s">
        <v>1869</v>
      </c>
      <c r="K224" s="27"/>
      <c r="L224" s="28"/>
      <c r="M224" s="253"/>
      <c r="N224" s="253"/>
      <c r="O224" s="253"/>
      <c r="P224" s="253"/>
      <c r="Q224" s="253"/>
      <c r="R224" s="253"/>
      <c r="S224" s="253"/>
      <c r="T224" s="253"/>
      <c r="U224" s="275"/>
      <c r="V224" s="275"/>
      <c r="W224" s="27">
        <v>84262</v>
      </c>
      <c r="X224" s="275"/>
      <c r="Y224" s="201"/>
      <c r="Z224" s="275"/>
      <c r="AA224" s="201"/>
      <c r="AB224" s="250" t="s">
        <v>1870</v>
      </c>
      <c r="AC224" s="161" t="s">
        <v>1871</v>
      </c>
      <c r="AD224" s="161" t="s">
        <v>1872</v>
      </c>
      <c r="AE224" s="161"/>
      <c r="AF224" s="161"/>
      <c r="AG224" s="161"/>
      <c r="AH224" s="161" t="s">
        <v>1873</v>
      </c>
      <c r="AI224" s="161"/>
      <c r="AJ224" s="161"/>
      <c r="AK224" s="240">
        <v>7262</v>
      </c>
      <c r="AL224" s="161" t="s">
        <v>1874</v>
      </c>
      <c r="AM224" s="161"/>
      <c r="AN224" s="161" t="s">
        <v>1875</v>
      </c>
      <c r="AO224" s="161"/>
      <c r="AP224" s="161" t="s">
        <v>1876</v>
      </c>
      <c r="AQ224" s="161">
        <v>57262</v>
      </c>
      <c r="AR224" s="33">
        <v>13.99</v>
      </c>
      <c r="AS224" s="161"/>
      <c r="AT224" s="161"/>
      <c r="AU224" s="161"/>
      <c r="AV224" s="161"/>
      <c r="AW224" s="161"/>
      <c r="AX224" s="251" t="s">
        <v>1877</v>
      </c>
      <c r="AY224" s="251" t="s">
        <v>1878</v>
      </c>
      <c r="AZ224" s="251"/>
      <c r="BA224" s="251"/>
      <c r="BB224" s="251"/>
      <c r="BC224" s="251"/>
      <c r="BD224" s="251"/>
      <c r="BE224" s="251"/>
      <c r="BF224" s="153">
        <v>3.8479999999999999</v>
      </c>
      <c r="BG224" s="153">
        <v>3.8479999999999999</v>
      </c>
      <c r="BH224" s="153">
        <v>4.4470000000000001</v>
      </c>
      <c r="BI224" s="157">
        <f t="shared" ref="BI224:BI225" si="70">(BH224*BG224*BF224)/1728</f>
        <v>3.8106013592592587E-2</v>
      </c>
      <c r="BJ224" s="153">
        <v>0.4</v>
      </c>
      <c r="BK224" s="153">
        <v>11.936999999999999</v>
      </c>
      <c r="BL224" s="153">
        <v>8</v>
      </c>
      <c r="BM224" s="153">
        <v>5</v>
      </c>
      <c r="BN224" s="157">
        <f t="shared" si="67"/>
        <v>0.2763194444444444</v>
      </c>
      <c r="BO224" s="153">
        <f>BJ224*BS224+0.25</f>
        <v>2.6500000000000004</v>
      </c>
      <c r="BP224" s="360"/>
      <c r="BQ224" s="360"/>
      <c r="BR224" s="146" t="s">
        <v>733</v>
      </c>
      <c r="BS224" s="29">
        <v>6</v>
      </c>
      <c r="BT224" s="29">
        <v>20</v>
      </c>
      <c r="BU224" s="29">
        <v>9</v>
      </c>
      <c r="BV224" s="29">
        <f t="shared" si="68"/>
        <v>1080</v>
      </c>
      <c r="BW224" s="29">
        <f t="shared" si="69"/>
        <v>527</v>
      </c>
      <c r="BX224" s="278" t="s">
        <v>890</v>
      </c>
      <c r="BY224" s="29" t="s">
        <v>735</v>
      </c>
      <c r="BZ224" s="254"/>
      <c r="CA224" s="254"/>
      <c r="CB224" s="254"/>
      <c r="CC224" s="15"/>
      <c r="CD224" s="15"/>
      <c r="CE224" s="15"/>
      <c r="CF224" s="15"/>
      <c r="CG224" s="15"/>
      <c r="CH224" s="15"/>
      <c r="CI224" s="15"/>
      <c r="CJ224" s="15"/>
    </row>
    <row r="225" spans="1:88" s="117" customFormat="1" x14ac:dyDescent="0.25">
      <c r="A225" s="256">
        <v>41730</v>
      </c>
      <c r="B225" s="256"/>
      <c r="C225" s="161" t="s">
        <v>1879</v>
      </c>
      <c r="D225" s="161" t="s">
        <v>746</v>
      </c>
      <c r="E225" s="229" t="s">
        <v>1865</v>
      </c>
      <c r="F225" s="252" t="s">
        <v>1880</v>
      </c>
      <c r="G225" s="161" t="s">
        <v>769</v>
      </c>
      <c r="H225" s="161">
        <v>11427583220</v>
      </c>
      <c r="I225" s="207" t="s">
        <v>1537</v>
      </c>
      <c r="J225" s="27" t="s">
        <v>1881</v>
      </c>
      <c r="K225" s="27"/>
      <c r="L225" s="28"/>
      <c r="M225" s="253"/>
      <c r="N225" s="253"/>
      <c r="O225" s="253"/>
      <c r="P225" s="253"/>
      <c r="Q225" s="253"/>
      <c r="R225" s="253"/>
      <c r="S225" s="253"/>
      <c r="T225" s="253"/>
      <c r="U225" s="275"/>
      <c r="V225" s="275"/>
      <c r="W225" s="27">
        <v>84189</v>
      </c>
      <c r="X225" s="275"/>
      <c r="Y225" s="201"/>
      <c r="Z225" s="275"/>
      <c r="AA225" s="201"/>
      <c r="AB225" s="250" t="s">
        <v>1882</v>
      </c>
      <c r="AC225" s="161" t="s">
        <v>1883</v>
      </c>
      <c r="AD225" s="161"/>
      <c r="AE225" s="161"/>
      <c r="AF225" s="161"/>
      <c r="AG225" s="161"/>
      <c r="AH225" s="161" t="s">
        <v>1884</v>
      </c>
      <c r="AI225" s="161"/>
      <c r="AJ225" s="161"/>
      <c r="AK225" s="240">
        <v>7189</v>
      </c>
      <c r="AL225" s="161" t="s">
        <v>1885</v>
      </c>
      <c r="AM225" s="161" t="s">
        <v>1886</v>
      </c>
      <c r="AN225" s="161" t="s">
        <v>1887</v>
      </c>
      <c r="AO225" s="161"/>
      <c r="AP225" s="161" t="s">
        <v>1888</v>
      </c>
      <c r="AQ225" s="161">
        <v>57189</v>
      </c>
      <c r="AR225" s="33">
        <v>27.77</v>
      </c>
      <c r="AS225" s="161"/>
      <c r="AT225" s="161"/>
      <c r="AU225" s="161"/>
      <c r="AV225" s="161"/>
      <c r="AW225" s="161"/>
      <c r="AX225" s="251" t="s">
        <v>1889</v>
      </c>
      <c r="AY225" s="251" t="s">
        <v>1890</v>
      </c>
      <c r="AZ225" s="251"/>
      <c r="BA225" s="251"/>
      <c r="BB225" s="251"/>
      <c r="BC225" s="251"/>
      <c r="BD225" s="251"/>
      <c r="BE225" s="251"/>
      <c r="BF225" s="153">
        <v>3.1859999999999999</v>
      </c>
      <c r="BG225" s="153">
        <v>3.1920000000000002</v>
      </c>
      <c r="BH225" s="153">
        <v>4.9420000000000002</v>
      </c>
      <c r="BI225" s="157">
        <f t="shared" si="70"/>
        <v>2.9084905500000001E-2</v>
      </c>
      <c r="BJ225" s="153">
        <v>0.31</v>
      </c>
      <c r="BK225" s="153">
        <v>10</v>
      </c>
      <c r="BL225" s="153">
        <v>6.75</v>
      </c>
      <c r="BM225" s="153">
        <v>5.5</v>
      </c>
      <c r="BN225" s="157">
        <f t="shared" si="67"/>
        <v>0.21484375</v>
      </c>
      <c r="BO225" s="153">
        <f>BJ225*BS225+0.25</f>
        <v>2.11</v>
      </c>
      <c r="BP225" s="360"/>
      <c r="BQ225" s="360"/>
      <c r="BR225" s="146" t="s">
        <v>733</v>
      </c>
      <c r="BS225" s="29">
        <v>6</v>
      </c>
      <c r="BT225" s="29">
        <v>26</v>
      </c>
      <c r="BU225" s="29">
        <v>8</v>
      </c>
      <c r="BV225" s="29">
        <f t="shared" si="68"/>
        <v>1248</v>
      </c>
      <c r="BW225" s="29">
        <f t="shared" si="69"/>
        <v>488.88</v>
      </c>
      <c r="BX225" s="278" t="s">
        <v>890</v>
      </c>
      <c r="BY225" s="29" t="s">
        <v>735</v>
      </c>
      <c r="BZ225" s="254"/>
      <c r="CA225" s="254"/>
      <c r="CB225" s="254"/>
      <c r="CC225" s="15"/>
      <c r="CD225" s="15"/>
      <c r="CE225" s="15"/>
      <c r="CF225" s="15"/>
      <c r="CG225" s="15"/>
      <c r="CH225" s="15"/>
      <c r="CI225" s="15"/>
      <c r="CJ225" s="15"/>
    </row>
    <row r="226" spans="1:88" s="117" customFormat="1" x14ac:dyDescent="0.25">
      <c r="A226" s="256">
        <v>41730</v>
      </c>
      <c r="B226" s="256"/>
      <c r="C226" s="161" t="s">
        <v>1817</v>
      </c>
      <c r="D226" s="161" t="s">
        <v>746</v>
      </c>
      <c r="E226" s="229" t="s">
        <v>1891</v>
      </c>
      <c r="F226" s="161" t="s">
        <v>1892</v>
      </c>
      <c r="G226" s="161" t="s">
        <v>748</v>
      </c>
      <c r="H226" s="161">
        <v>92234714</v>
      </c>
      <c r="I226" s="207" t="s">
        <v>1893</v>
      </c>
      <c r="J226" s="27" t="s">
        <v>1815</v>
      </c>
      <c r="K226" s="27"/>
      <c r="L226" s="28"/>
      <c r="M226" s="253"/>
      <c r="N226" s="253"/>
      <c r="O226" s="253"/>
      <c r="P226" s="253"/>
      <c r="Q226" s="253"/>
      <c r="R226" s="253"/>
      <c r="S226" s="253"/>
      <c r="T226" s="253"/>
      <c r="U226" s="275"/>
      <c r="V226" s="275"/>
      <c r="W226" s="27">
        <v>89014</v>
      </c>
      <c r="X226" s="275"/>
      <c r="Y226" s="201"/>
      <c r="Z226" s="275"/>
      <c r="AA226" s="201"/>
      <c r="AB226" s="250" t="s">
        <v>1816</v>
      </c>
      <c r="AC226" s="161" t="s">
        <v>1894</v>
      </c>
      <c r="AD226" s="161"/>
      <c r="AE226" s="161"/>
      <c r="AF226" s="161"/>
      <c r="AG226" s="161"/>
      <c r="AH226" s="161"/>
      <c r="AI226" s="161"/>
      <c r="AJ226" s="161"/>
      <c r="AK226" s="240">
        <v>4014</v>
      </c>
      <c r="AL226" s="161" t="s">
        <v>1818</v>
      </c>
      <c r="AM226" s="161" t="s">
        <v>1817</v>
      </c>
      <c r="AN226" s="161" t="s">
        <v>1818</v>
      </c>
      <c r="AO226" s="161"/>
      <c r="AP226" s="161" t="s">
        <v>1819</v>
      </c>
      <c r="AQ226" s="161">
        <v>24014</v>
      </c>
      <c r="AR226" s="33">
        <v>25.27</v>
      </c>
      <c r="AS226" s="161"/>
      <c r="AT226" s="161"/>
      <c r="AU226" s="161"/>
      <c r="AV226" s="161"/>
      <c r="AW226" s="161"/>
      <c r="AX226" s="251" t="s">
        <v>1895</v>
      </c>
      <c r="AY226" s="251" t="s">
        <v>1896</v>
      </c>
      <c r="AZ226" s="251"/>
      <c r="BA226" s="251"/>
      <c r="BB226" s="251"/>
      <c r="BC226" s="251"/>
      <c r="BD226" s="251"/>
      <c r="BE226" s="251"/>
      <c r="BF226" s="451" t="s">
        <v>1509</v>
      </c>
      <c r="BG226" s="451"/>
      <c r="BH226" s="451"/>
      <c r="BI226" s="451"/>
      <c r="BJ226" s="451"/>
      <c r="BK226" s="153">
        <v>12</v>
      </c>
      <c r="BL226" s="153">
        <v>10.37</v>
      </c>
      <c r="BM226" s="153">
        <v>10.62</v>
      </c>
      <c r="BN226" s="157">
        <f t="shared" si="67"/>
        <v>0.76478749999999995</v>
      </c>
      <c r="BO226" s="153">
        <f>0.83*BS226+0.25</f>
        <v>5.2299999999999995</v>
      </c>
      <c r="BP226" s="360"/>
      <c r="BQ226" s="360"/>
      <c r="BR226" s="146" t="s">
        <v>733</v>
      </c>
      <c r="BS226" s="29">
        <v>6</v>
      </c>
      <c r="BT226" s="29">
        <v>12</v>
      </c>
      <c r="BU226" s="29">
        <v>4</v>
      </c>
      <c r="BV226" s="29">
        <f t="shared" si="68"/>
        <v>288</v>
      </c>
      <c r="BW226" s="29">
        <f t="shared" si="69"/>
        <v>301.03999999999996</v>
      </c>
      <c r="BX226" s="278" t="s">
        <v>890</v>
      </c>
      <c r="BY226" s="29" t="s">
        <v>735</v>
      </c>
      <c r="BZ226" s="254"/>
      <c r="CA226" s="254"/>
      <c r="CB226" s="254"/>
      <c r="CC226" s="15"/>
      <c r="CD226" s="15"/>
      <c r="CE226" s="15"/>
      <c r="CF226" s="15"/>
      <c r="CG226" s="15"/>
      <c r="CH226" s="15"/>
      <c r="CI226" s="15"/>
      <c r="CJ226" s="15"/>
    </row>
    <row r="227" spans="1:88" s="117" customFormat="1" x14ac:dyDescent="0.25">
      <c r="A227" s="256">
        <v>41730</v>
      </c>
      <c r="B227" s="256"/>
      <c r="C227" s="161" t="s">
        <v>1897</v>
      </c>
      <c r="D227" s="161" t="s">
        <v>746</v>
      </c>
      <c r="E227" s="229" t="s">
        <v>1891</v>
      </c>
      <c r="F227" s="161" t="s">
        <v>1898</v>
      </c>
      <c r="G227" s="240" t="s">
        <v>1262</v>
      </c>
      <c r="H227" s="161" t="s">
        <v>1899</v>
      </c>
      <c r="I227" s="207"/>
      <c r="J227" s="27"/>
      <c r="K227" s="207"/>
      <c r="L227" s="27"/>
      <c r="M227" s="27"/>
      <c r="N227" s="161"/>
      <c r="O227" s="161"/>
      <c r="P227" s="161"/>
      <c r="Q227" s="253"/>
      <c r="R227" s="253"/>
      <c r="S227" s="253"/>
      <c r="T227" s="253"/>
      <c r="U227" s="275"/>
      <c r="V227" s="275"/>
      <c r="W227" s="27"/>
      <c r="X227" s="275"/>
      <c r="Y227" s="201"/>
      <c r="Z227" s="275"/>
      <c r="AA227" s="201"/>
      <c r="AB227" s="250" t="s">
        <v>1900</v>
      </c>
      <c r="AC227" s="161"/>
      <c r="AD227" s="161"/>
      <c r="AE227" s="161"/>
      <c r="AF227" s="161"/>
      <c r="AG227" s="161"/>
      <c r="AH227" s="161"/>
      <c r="AI227" s="161"/>
      <c r="AJ227" s="161"/>
      <c r="AK227" s="240"/>
      <c r="AL227" s="161" t="s">
        <v>1901</v>
      </c>
      <c r="AM227" s="161" t="s">
        <v>1897</v>
      </c>
      <c r="AN227" s="161" t="s">
        <v>1901</v>
      </c>
      <c r="AO227" s="161"/>
      <c r="AP227" s="161" t="s">
        <v>1902</v>
      </c>
      <c r="AQ227" s="161">
        <v>24600</v>
      </c>
      <c r="AR227" s="33">
        <v>16.46</v>
      </c>
      <c r="AS227" s="161"/>
      <c r="AT227" s="161"/>
      <c r="AU227" s="161"/>
      <c r="AV227" s="161"/>
      <c r="AW227" s="161"/>
      <c r="AX227" s="251" t="s">
        <v>1903</v>
      </c>
      <c r="AY227" s="251" t="s">
        <v>1904</v>
      </c>
      <c r="AZ227" s="251"/>
      <c r="BA227" s="251"/>
      <c r="BB227" s="251"/>
      <c r="BC227" s="251"/>
      <c r="BD227" s="251"/>
      <c r="BE227" s="251"/>
      <c r="BF227" s="451" t="s">
        <v>1509</v>
      </c>
      <c r="BG227" s="451"/>
      <c r="BH227" s="451"/>
      <c r="BI227" s="451"/>
      <c r="BJ227" s="451"/>
      <c r="BK227" s="153">
        <v>11</v>
      </c>
      <c r="BL227" s="153">
        <v>8</v>
      </c>
      <c r="BM227" s="153">
        <v>8.6199999999999992</v>
      </c>
      <c r="BN227" s="157">
        <f t="shared" si="67"/>
        <v>0.43898148148148147</v>
      </c>
      <c r="BO227" s="153">
        <f>0.06*BS227+0.4</f>
        <v>0.76</v>
      </c>
      <c r="BP227" s="360"/>
      <c r="BQ227" s="360"/>
      <c r="BR227" s="146" t="s">
        <v>733</v>
      </c>
      <c r="BS227" s="29">
        <v>6</v>
      </c>
      <c r="BT227" s="29">
        <v>20</v>
      </c>
      <c r="BU227" s="29">
        <v>4</v>
      </c>
      <c r="BV227" s="29">
        <f t="shared" si="68"/>
        <v>480</v>
      </c>
      <c r="BW227" s="29">
        <f t="shared" si="69"/>
        <v>110.8</v>
      </c>
      <c r="BX227" s="278" t="s">
        <v>890</v>
      </c>
      <c r="BY227" s="29" t="s">
        <v>735</v>
      </c>
      <c r="BZ227" s="254"/>
      <c r="CA227" s="254"/>
      <c r="CB227" s="254"/>
      <c r="CC227" s="15"/>
      <c r="CD227" s="15"/>
      <c r="CE227" s="15"/>
      <c r="CF227" s="15"/>
      <c r="CG227" s="15"/>
      <c r="CH227" s="15"/>
      <c r="CI227" s="15"/>
      <c r="CJ227" s="15"/>
    </row>
    <row r="228" spans="1:88" s="117" customFormat="1" x14ac:dyDescent="0.25">
      <c r="A228" s="256">
        <v>41730</v>
      </c>
      <c r="B228" s="256"/>
      <c r="C228" s="161" t="s">
        <v>1905</v>
      </c>
      <c r="D228" s="161" t="s">
        <v>746</v>
      </c>
      <c r="E228" s="229" t="s">
        <v>1891</v>
      </c>
      <c r="F228" s="161" t="s">
        <v>1906</v>
      </c>
      <c r="G228" s="240" t="s">
        <v>927</v>
      </c>
      <c r="H228" s="161" t="s">
        <v>1907</v>
      </c>
      <c r="I228" s="207"/>
      <c r="J228" s="27"/>
      <c r="K228" s="207"/>
      <c r="L228" s="27"/>
      <c r="M228" s="27"/>
      <c r="N228" s="161"/>
      <c r="O228" s="161"/>
      <c r="P228" s="161"/>
      <c r="Q228" s="253"/>
      <c r="R228" s="253"/>
      <c r="S228" s="253"/>
      <c r="T228" s="253"/>
      <c r="U228" s="275"/>
      <c r="V228" s="275"/>
      <c r="W228" s="27"/>
      <c r="X228" s="275"/>
      <c r="Y228" s="201"/>
      <c r="Z228" s="275"/>
      <c r="AA228" s="201"/>
      <c r="AB228" s="250" t="s">
        <v>1908</v>
      </c>
      <c r="AC228" s="161"/>
      <c r="AD228" s="161"/>
      <c r="AE228" s="161"/>
      <c r="AF228" s="161"/>
      <c r="AG228" s="161"/>
      <c r="AH228" s="161"/>
      <c r="AI228" s="161"/>
      <c r="AJ228" s="161"/>
      <c r="AK228" s="240"/>
      <c r="AL228" s="161" t="s">
        <v>1909</v>
      </c>
      <c r="AM228" s="161" t="s">
        <v>1905</v>
      </c>
      <c r="AN228" s="161" t="s">
        <v>1909</v>
      </c>
      <c r="AO228" s="161"/>
      <c r="AP228" s="161" t="s">
        <v>1910</v>
      </c>
      <c r="AQ228" s="161">
        <v>24579</v>
      </c>
      <c r="AR228" s="191">
        <v>11.27</v>
      </c>
      <c r="AS228" s="161"/>
      <c r="AT228" s="161"/>
      <c r="AU228" s="161"/>
      <c r="AV228" s="161"/>
      <c r="AW228" s="161"/>
      <c r="AX228" s="251" t="s">
        <v>1911</v>
      </c>
      <c r="AY228" s="251" t="s">
        <v>1912</v>
      </c>
      <c r="AZ228" s="251"/>
      <c r="BA228" s="251"/>
      <c r="BB228" s="251"/>
      <c r="BC228" s="251"/>
      <c r="BD228" s="251"/>
      <c r="BE228" s="251"/>
      <c r="BF228" s="451" t="s">
        <v>1509</v>
      </c>
      <c r="BG228" s="451"/>
      <c r="BH228" s="451"/>
      <c r="BI228" s="451"/>
      <c r="BJ228" s="451"/>
      <c r="BK228" s="153">
        <v>11</v>
      </c>
      <c r="BL228" s="153">
        <v>8</v>
      </c>
      <c r="BM228" s="153">
        <v>9.25</v>
      </c>
      <c r="BN228" s="157">
        <f t="shared" si="67"/>
        <v>0.47106481481481483</v>
      </c>
      <c r="BO228" s="153">
        <f>0.08*BS228+0.4</f>
        <v>0.88</v>
      </c>
      <c r="BP228" s="360"/>
      <c r="BQ228" s="360"/>
      <c r="BR228" s="146" t="s">
        <v>733</v>
      </c>
      <c r="BS228" s="29">
        <v>6</v>
      </c>
      <c r="BT228" s="29">
        <v>18</v>
      </c>
      <c r="BU228" s="29">
        <v>4</v>
      </c>
      <c r="BV228" s="29">
        <f t="shared" si="68"/>
        <v>432</v>
      </c>
      <c r="BW228" s="29">
        <f t="shared" si="69"/>
        <v>113.36</v>
      </c>
      <c r="BX228" s="278" t="s">
        <v>890</v>
      </c>
      <c r="BY228" s="29" t="s">
        <v>735</v>
      </c>
      <c r="BZ228" s="254"/>
      <c r="CA228" s="254"/>
      <c r="CB228" s="254"/>
      <c r="CC228" s="15"/>
      <c r="CD228" s="15"/>
      <c r="CE228" s="15"/>
      <c r="CF228" s="15"/>
      <c r="CG228" s="15"/>
      <c r="CH228" s="15"/>
      <c r="CI228" s="15"/>
      <c r="CJ228" s="15"/>
    </row>
    <row r="229" spans="1:88" s="117" customFormat="1" x14ac:dyDescent="0.25">
      <c r="A229" s="256">
        <v>41730</v>
      </c>
      <c r="B229" s="256"/>
      <c r="C229" s="161" t="s">
        <v>1913</v>
      </c>
      <c r="D229" s="161" t="s">
        <v>746</v>
      </c>
      <c r="E229" s="229" t="s">
        <v>1891</v>
      </c>
      <c r="F229" s="166" t="s">
        <v>1914</v>
      </c>
      <c r="G229" s="240" t="s">
        <v>903</v>
      </c>
      <c r="H229" s="161" t="s">
        <v>1915</v>
      </c>
      <c r="I229" s="207"/>
      <c r="J229" s="27"/>
      <c r="K229" s="207"/>
      <c r="L229" s="27"/>
      <c r="M229" s="27"/>
      <c r="N229" s="161"/>
      <c r="O229" s="161"/>
      <c r="P229" s="161"/>
      <c r="Q229" s="253"/>
      <c r="R229" s="253"/>
      <c r="S229" s="253"/>
      <c r="T229" s="253"/>
      <c r="U229" s="275"/>
      <c r="V229" s="275"/>
      <c r="W229" s="27"/>
      <c r="X229" s="275"/>
      <c r="Y229" s="201"/>
      <c r="Z229" s="275"/>
      <c r="AA229" s="201"/>
      <c r="AB229" s="250" t="s">
        <v>1916</v>
      </c>
      <c r="AC229" s="161"/>
      <c r="AD229" s="161"/>
      <c r="AE229" s="161"/>
      <c r="AF229" s="161"/>
      <c r="AG229" s="161"/>
      <c r="AH229" s="161"/>
      <c r="AI229" s="161"/>
      <c r="AJ229" s="161"/>
      <c r="AK229" s="240"/>
      <c r="AL229" s="161" t="s">
        <v>1917</v>
      </c>
      <c r="AM229" s="161" t="s">
        <v>1913</v>
      </c>
      <c r="AN229" s="161" t="s">
        <v>1917</v>
      </c>
      <c r="AO229" s="161"/>
      <c r="AP229" s="161" t="s">
        <v>1918</v>
      </c>
      <c r="AQ229" s="161">
        <v>24761</v>
      </c>
      <c r="AR229" s="161">
        <v>24.45</v>
      </c>
      <c r="AS229" s="161"/>
      <c r="AT229" s="161"/>
      <c r="AU229" s="161"/>
      <c r="AV229" s="161"/>
      <c r="AW229" s="161"/>
      <c r="AX229" s="251" t="s">
        <v>1919</v>
      </c>
      <c r="AY229" s="251" t="s">
        <v>1920</v>
      </c>
      <c r="AZ229" s="251"/>
      <c r="BA229" s="251"/>
      <c r="BB229" s="251"/>
      <c r="BC229" s="251"/>
      <c r="BD229" s="251"/>
      <c r="BE229" s="251"/>
      <c r="BF229" s="451" t="s">
        <v>1509</v>
      </c>
      <c r="BG229" s="451"/>
      <c r="BH229" s="451"/>
      <c r="BI229" s="451"/>
      <c r="BJ229" s="451"/>
      <c r="BK229" s="153">
        <v>10.5</v>
      </c>
      <c r="BL229" s="153">
        <v>8.75</v>
      </c>
      <c r="BM229" s="153">
        <v>9.75</v>
      </c>
      <c r="BN229" s="157">
        <f>(BM229*BL229*BK229)/1728</f>
        <v>0.51839192708333337</v>
      </c>
      <c r="BO229" s="153">
        <f>0.07*BS229+0.4</f>
        <v>0.82000000000000006</v>
      </c>
      <c r="BP229" s="360"/>
      <c r="BQ229" s="360"/>
      <c r="BR229" s="146" t="s">
        <v>733</v>
      </c>
      <c r="BS229" s="29">
        <v>6</v>
      </c>
      <c r="BT229" s="29">
        <v>18</v>
      </c>
      <c r="BU229" s="29">
        <v>4</v>
      </c>
      <c r="BV229" s="29">
        <f>BS229*BT229*BU229</f>
        <v>432</v>
      </c>
      <c r="BW229" s="29">
        <f>(BO229*BT229*BU229)+50</f>
        <v>109.04</v>
      </c>
      <c r="BX229" s="278" t="s">
        <v>890</v>
      </c>
      <c r="BY229" s="29" t="s">
        <v>735</v>
      </c>
      <c r="BZ229" s="254"/>
      <c r="CA229" s="254"/>
      <c r="CB229" s="254"/>
      <c r="CC229" s="15"/>
      <c r="CD229" s="15"/>
      <c r="CE229" s="15"/>
      <c r="CF229" s="15"/>
      <c r="CG229" s="15"/>
      <c r="CH229" s="15"/>
      <c r="CI229" s="15"/>
      <c r="CJ229" s="15"/>
    </row>
    <row r="230" spans="1:88" s="117" customFormat="1" x14ac:dyDescent="0.25">
      <c r="A230" s="256">
        <v>41713</v>
      </c>
      <c r="B230" s="256"/>
      <c r="C230" s="228" t="s">
        <v>1921</v>
      </c>
      <c r="D230" s="161" t="s">
        <v>746</v>
      </c>
      <c r="E230" s="277" t="s">
        <v>1891</v>
      </c>
      <c r="F230" s="252" t="s">
        <v>1922</v>
      </c>
      <c r="G230" s="240" t="s">
        <v>748</v>
      </c>
      <c r="H230" s="252">
        <v>20958479</v>
      </c>
      <c r="I230" s="207" t="s">
        <v>749</v>
      </c>
      <c r="J230" s="27" t="s">
        <v>1923</v>
      </c>
      <c r="K230" s="27"/>
      <c r="L230" s="28"/>
      <c r="M230" s="253"/>
      <c r="N230" s="253"/>
      <c r="O230" s="253"/>
      <c r="P230" s="253"/>
      <c r="Q230" s="253"/>
      <c r="R230" s="253"/>
      <c r="S230" s="253"/>
      <c r="T230" s="253"/>
      <c r="U230" s="275"/>
      <c r="V230" s="275"/>
      <c r="W230" s="27"/>
      <c r="X230" s="275"/>
      <c r="Y230" s="201"/>
      <c r="Z230" s="275"/>
      <c r="AA230" s="201"/>
      <c r="AB230" s="27" t="s">
        <v>1924</v>
      </c>
      <c r="AC230" s="161"/>
      <c r="AD230" s="161"/>
      <c r="AE230" s="161"/>
      <c r="AF230" s="161"/>
      <c r="AG230" s="161"/>
      <c r="AH230" s="161"/>
      <c r="AI230" s="161"/>
      <c r="AJ230" s="161"/>
      <c r="AK230" s="240"/>
      <c r="AL230" s="161" t="s">
        <v>1925</v>
      </c>
      <c r="AM230" s="161"/>
      <c r="AN230" s="161" t="s">
        <v>1926</v>
      </c>
      <c r="AO230" s="161"/>
      <c r="AP230" s="161" t="s">
        <v>1927</v>
      </c>
      <c r="AQ230" s="161" t="s">
        <v>1928</v>
      </c>
      <c r="AR230" s="161"/>
      <c r="AS230" s="161"/>
      <c r="AT230" s="161"/>
      <c r="AU230" s="161"/>
      <c r="AV230" s="161"/>
      <c r="AW230" s="161"/>
      <c r="AX230" s="262" t="s">
        <v>1929</v>
      </c>
      <c r="AY230" s="262" t="s">
        <v>1930</v>
      </c>
      <c r="AZ230" s="262"/>
      <c r="BA230" s="262"/>
      <c r="BB230" s="262"/>
      <c r="BC230" s="262"/>
      <c r="BD230" s="262"/>
      <c r="BE230" s="262"/>
      <c r="BF230" s="451" t="s">
        <v>1509</v>
      </c>
      <c r="BG230" s="451"/>
      <c r="BH230" s="451"/>
      <c r="BI230" s="451"/>
      <c r="BJ230" s="451"/>
      <c r="BK230" s="235">
        <v>9.68</v>
      </c>
      <c r="BL230" s="235">
        <v>7.93</v>
      </c>
      <c r="BM230" s="235">
        <v>5.75</v>
      </c>
      <c r="BN230" s="157">
        <f t="shared" ref="BN230:BN280" si="71">(BM230*BL230*BK230)/1728</f>
        <v>0.25543043981481478</v>
      </c>
      <c r="BO230" s="235">
        <v>4.1500000000000004</v>
      </c>
      <c r="BP230" s="365"/>
      <c r="BQ230" s="365"/>
      <c r="BR230" s="161" t="s">
        <v>733</v>
      </c>
      <c r="BS230" s="228">
        <v>6</v>
      </c>
      <c r="BT230" s="228">
        <v>24</v>
      </c>
      <c r="BU230" s="228">
        <v>7</v>
      </c>
      <c r="BV230" s="29">
        <f t="shared" ref="BV230:BV280" si="72">BS230*BT230*BU230</f>
        <v>1008</v>
      </c>
      <c r="BW230" s="29">
        <f t="shared" ref="BW230:BW280" si="73">(BO230*BT230*BU230)+50</f>
        <v>747.2</v>
      </c>
      <c r="BX230" s="29" t="s">
        <v>743</v>
      </c>
      <c r="BY230" s="29" t="s">
        <v>735</v>
      </c>
      <c r="BZ230" s="254"/>
      <c r="CA230" s="254"/>
      <c r="CB230" s="254"/>
      <c r="CC230" s="15"/>
      <c r="CD230" s="15"/>
      <c r="CE230" s="15"/>
      <c r="CF230" s="15"/>
      <c r="CG230" s="15"/>
      <c r="CH230" s="15"/>
      <c r="CI230" s="15"/>
      <c r="CJ230" s="15"/>
    </row>
    <row r="231" spans="1:88" s="117" customFormat="1" x14ac:dyDescent="0.25">
      <c r="A231" s="256">
        <v>41713</v>
      </c>
      <c r="B231" s="256"/>
      <c r="C231" s="161" t="s">
        <v>1931</v>
      </c>
      <c r="D231" s="228" t="s">
        <v>746</v>
      </c>
      <c r="E231" s="277" t="s">
        <v>1865</v>
      </c>
      <c r="F231" s="252" t="s">
        <v>1932</v>
      </c>
      <c r="G231" s="161" t="s">
        <v>748</v>
      </c>
      <c r="H231" s="161">
        <v>96985730</v>
      </c>
      <c r="I231" s="207"/>
      <c r="J231" s="27"/>
      <c r="K231" s="27"/>
      <c r="L231" s="28"/>
      <c r="M231" s="253"/>
      <c r="N231" s="253"/>
      <c r="O231" s="253"/>
      <c r="P231" s="253"/>
      <c r="Q231" s="253"/>
      <c r="R231" s="253"/>
      <c r="S231" s="253"/>
      <c r="T231" s="253"/>
      <c r="U231" s="275"/>
      <c r="V231" s="275"/>
      <c r="W231" s="27"/>
      <c r="X231" s="275"/>
      <c r="Y231" s="201"/>
      <c r="Z231" s="275"/>
      <c r="AA231" s="201"/>
      <c r="AB231" s="250" t="s">
        <v>1933</v>
      </c>
      <c r="AC231" s="161"/>
      <c r="AD231" s="161"/>
      <c r="AE231" s="161"/>
      <c r="AF231" s="161"/>
      <c r="AG231" s="161"/>
      <c r="AH231" s="161"/>
      <c r="AI231" s="161"/>
      <c r="AJ231" s="161"/>
      <c r="AK231" s="240"/>
      <c r="AL231" s="161" t="s">
        <v>1934</v>
      </c>
      <c r="AM231" s="161"/>
      <c r="AN231" s="161" t="s">
        <v>1935</v>
      </c>
      <c r="AO231" s="161"/>
      <c r="AP231" s="161" t="s">
        <v>1936</v>
      </c>
      <c r="AQ231" s="161"/>
      <c r="AR231" s="161"/>
      <c r="AS231" s="161"/>
      <c r="AT231" s="161"/>
      <c r="AU231" s="161"/>
      <c r="AV231" s="161"/>
      <c r="AW231" s="161"/>
      <c r="AX231" s="262" t="s">
        <v>1937</v>
      </c>
      <c r="AY231" s="262" t="s">
        <v>1938</v>
      </c>
      <c r="AZ231" s="262"/>
      <c r="BA231" s="262"/>
      <c r="BB231" s="262"/>
      <c r="BC231" s="262"/>
      <c r="BD231" s="262"/>
      <c r="BE231" s="262"/>
      <c r="BF231" s="235">
        <v>2.786</v>
      </c>
      <c r="BG231" s="235">
        <v>2.786</v>
      </c>
      <c r="BH231" s="235">
        <v>2.7589999999999999</v>
      </c>
      <c r="BI231" s="157">
        <f>(BH231*BG231*BF231)/1728</f>
        <v>1.2392821275462963E-2</v>
      </c>
      <c r="BJ231" s="153">
        <v>0.5</v>
      </c>
      <c r="BK231" s="153">
        <v>6.3620000000000001</v>
      </c>
      <c r="BL231" s="153">
        <v>3.056</v>
      </c>
      <c r="BM231" s="153">
        <v>8.8059999999999992</v>
      </c>
      <c r="BN231" s="157">
        <f t="shared" si="71"/>
        <v>9.9079078259259268E-2</v>
      </c>
      <c r="BO231" s="235">
        <f>BJ231*BS231+0.25</f>
        <v>3.25</v>
      </c>
      <c r="BP231" s="365"/>
      <c r="BQ231" s="365"/>
      <c r="BR231" s="161" t="s">
        <v>733</v>
      </c>
      <c r="BS231" s="161">
        <v>6</v>
      </c>
      <c r="BT231" s="228">
        <v>32</v>
      </c>
      <c r="BU231" s="228">
        <v>12</v>
      </c>
      <c r="BV231" s="29">
        <f t="shared" si="72"/>
        <v>2304</v>
      </c>
      <c r="BW231" s="29">
        <f t="shared" si="73"/>
        <v>1298</v>
      </c>
      <c r="BX231" s="29" t="s">
        <v>890</v>
      </c>
      <c r="BY231" s="29" t="s">
        <v>735</v>
      </c>
      <c r="BZ231" s="254"/>
      <c r="CA231" s="254"/>
      <c r="CB231" s="254"/>
      <c r="CC231" s="15"/>
      <c r="CD231" s="15"/>
      <c r="CE231" s="15"/>
      <c r="CF231" s="15"/>
      <c r="CG231" s="15"/>
      <c r="CH231" s="15"/>
      <c r="CI231" s="15"/>
      <c r="CJ231" s="15"/>
    </row>
    <row r="232" spans="1:88" s="117" customFormat="1" x14ac:dyDescent="0.25">
      <c r="A232" s="256">
        <v>41713</v>
      </c>
      <c r="B232" s="256"/>
      <c r="C232" s="161" t="s">
        <v>1939</v>
      </c>
      <c r="D232" s="161" t="s">
        <v>746</v>
      </c>
      <c r="E232" s="273" t="s">
        <v>1940</v>
      </c>
      <c r="F232" s="252" t="s">
        <v>1941</v>
      </c>
      <c r="G232" s="161" t="s">
        <v>1307</v>
      </c>
      <c r="H232" s="161" t="s">
        <v>1942</v>
      </c>
      <c r="I232" s="161" t="s">
        <v>1307</v>
      </c>
      <c r="J232" s="161" t="s">
        <v>1943</v>
      </c>
      <c r="K232" s="27"/>
      <c r="L232" s="28"/>
      <c r="M232" s="253"/>
      <c r="N232" s="253"/>
      <c r="O232" s="253"/>
      <c r="P232" s="253"/>
      <c r="Q232" s="253"/>
      <c r="R232" s="253"/>
      <c r="S232" s="253"/>
      <c r="T232" s="253"/>
      <c r="U232" s="275"/>
      <c r="V232" s="275"/>
      <c r="W232" s="27">
        <v>89756</v>
      </c>
      <c r="X232" s="275"/>
      <c r="Y232" s="201"/>
      <c r="Z232" s="275"/>
      <c r="AA232" s="201"/>
      <c r="AB232" s="250" t="s">
        <v>1944</v>
      </c>
      <c r="AC232" s="161" t="s">
        <v>1945</v>
      </c>
      <c r="AD232" s="161" t="s">
        <v>1946</v>
      </c>
      <c r="AE232" s="161"/>
      <c r="AF232" s="161"/>
      <c r="AG232" s="161"/>
      <c r="AH232" s="161" t="s">
        <v>1947</v>
      </c>
      <c r="AI232" s="161"/>
      <c r="AJ232" s="161"/>
      <c r="AK232" s="240">
        <v>4756</v>
      </c>
      <c r="AL232" s="161" t="s">
        <v>1948</v>
      </c>
      <c r="AM232" s="161"/>
      <c r="AN232" s="161" t="s">
        <v>1949</v>
      </c>
      <c r="AO232" s="161"/>
      <c r="AP232" s="161" t="s">
        <v>1950</v>
      </c>
      <c r="AQ232" s="161">
        <v>24756</v>
      </c>
      <c r="AR232" s="161"/>
      <c r="AS232" s="161"/>
      <c r="AT232" s="161"/>
      <c r="AU232" s="161"/>
      <c r="AV232" s="161"/>
      <c r="AW232" s="161"/>
      <c r="AX232" s="262" t="s">
        <v>1951</v>
      </c>
      <c r="AY232" s="262" t="s">
        <v>1952</v>
      </c>
      <c r="AZ232" s="262"/>
      <c r="BA232" s="262"/>
      <c r="BB232" s="262"/>
      <c r="BC232" s="262"/>
      <c r="BD232" s="262"/>
      <c r="BE232" s="262"/>
      <c r="BF232" s="451" t="s">
        <v>1509</v>
      </c>
      <c r="BG232" s="451"/>
      <c r="BH232" s="451"/>
      <c r="BI232" s="451"/>
      <c r="BJ232" s="451"/>
      <c r="BK232" s="153">
        <v>18.25</v>
      </c>
      <c r="BL232" s="153">
        <v>10.25</v>
      </c>
      <c r="BM232" s="153">
        <v>9.75</v>
      </c>
      <c r="BN232" s="157">
        <f t="shared" si="71"/>
        <v>1.0554741753472223</v>
      </c>
      <c r="BO232" s="153">
        <f>0.56*BS232+0.25</f>
        <v>3.6100000000000003</v>
      </c>
      <c r="BP232" s="360"/>
      <c r="BQ232" s="360"/>
      <c r="BR232" s="161" t="s">
        <v>733</v>
      </c>
      <c r="BS232" s="161">
        <v>6</v>
      </c>
      <c r="BT232" s="161">
        <v>9</v>
      </c>
      <c r="BU232" s="161">
        <v>4</v>
      </c>
      <c r="BV232" s="29">
        <f t="shared" si="72"/>
        <v>216</v>
      </c>
      <c r="BW232" s="29">
        <f t="shared" si="73"/>
        <v>179.96</v>
      </c>
      <c r="BX232" s="29" t="s">
        <v>743</v>
      </c>
      <c r="BY232" s="29" t="s">
        <v>735</v>
      </c>
      <c r="BZ232" s="254"/>
      <c r="CA232" s="254"/>
      <c r="CB232" s="254"/>
      <c r="CC232" s="15"/>
      <c r="CD232" s="15"/>
      <c r="CE232" s="15"/>
      <c r="CF232" s="15"/>
      <c r="CG232" s="15"/>
      <c r="CH232" s="15"/>
      <c r="CI232" s="15"/>
      <c r="CJ232" s="15"/>
    </row>
    <row r="233" spans="1:88" s="117" customFormat="1" ht="30" x14ac:dyDescent="0.25">
      <c r="A233" s="256">
        <v>41713</v>
      </c>
      <c r="B233" s="256"/>
      <c r="C233" s="161" t="s">
        <v>1953</v>
      </c>
      <c r="D233" s="161" t="s">
        <v>60</v>
      </c>
      <c r="E233" s="273" t="s">
        <v>1954</v>
      </c>
      <c r="F233" s="252" t="s">
        <v>1955</v>
      </c>
      <c r="G233" s="161" t="s">
        <v>1148</v>
      </c>
      <c r="H233" s="161" t="s">
        <v>1956</v>
      </c>
      <c r="I233" s="161" t="s">
        <v>1148</v>
      </c>
      <c r="J233" s="161" t="s">
        <v>1957</v>
      </c>
      <c r="K233" s="161" t="s">
        <v>1148</v>
      </c>
      <c r="L233" s="161" t="s">
        <v>1958</v>
      </c>
      <c r="M233" s="161" t="s">
        <v>1148</v>
      </c>
      <c r="N233" s="161" t="s">
        <v>1959</v>
      </c>
      <c r="O233" s="161" t="s">
        <v>1482</v>
      </c>
      <c r="P233" s="161" t="s">
        <v>1960</v>
      </c>
      <c r="Q233" s="253"/>
      <c r="R233" s="253"/>
      <c r="S233" s="253"/>
      <c r="T233" s="253"/>
      <c r="U233" s="275" t="s">
        <v>1961</v>
      </c>
      <c r="V233" s="275"/>
      <c r="W233" s="27"/>
      <c r="X233" s="275"/>
      <c r="Y233" s="201"/>
      <c r="Z233" s="275"/>
      <c r="AA233" s="201"/>
      <c r="AB233" s="250"/>
      <c r="AC233" s="161"/>
      <c r="AD233" s="161"/>
      <c r="AE233" s="161"/>
      <c r="AF233" s="161"/>
      <c r="AG233" s="161"/>
      <c r="AH233" s="161"/>
      <c r="AI233" s="161"/>
      <c r="AJ233" s="161"/>
      <c r="AK233" s="240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262" t="s">
        <v>1962</v>
      </c>
      <c r="AY233" s="262" t="s">
        <v>1963</v>
      </c>
      <c r="AZ233" s="262"/>
      <c r="BA233" s="262"/>
      <c r="BB233" s="262"/>
      <c r="BC233" s="262"/>
      <c r="BD233" s="262"/>
      <c r="BE233" s="262"/>
      <c r="BF233" s="153">
        <v>8.4239999999999995</v>
      </c>
      <c r="BG233" s="153">
        <v>4.5439999999999996</v>
      </c>
      <c r="BH233" s="161">
        <v>6.7779999999999996</v>
      </c>
      <c r="BI233" s="157">
        <f>(BF233*BG233*BH233)/1728</f>
        <v>0.15014625599999998</v>
      </c>
      <c r="BJ233" s="153">
        <f>0.91+0.1</f>
        <v>1.01</v>
      </c>
      <c r="BK233" s="153">
        <v>17.495999999999999</v>
      </c>
      <c r="BL233" s="153">
        <v>14.305999999999999</v>
      </c>
      <c r="BM233" s="153">
        <v>7.492</v>
      </c>
      <c r="BN233" s="157">
        <f t="shared" si="71"/>
        <v>1.0852030889999997</v>
      </c>
      <c r="BO233" s="153">
        <f>BJ233*BS233+0.25</f>
        <v>6.3100000000000005</v>
      </c>
      <c r="BP233" s="360"/>
      <c r="BQ233" s="360"/>
      <c r="BR233" s="161" t="s">
        <v>733</v>
      </c>
      <c r="BS233" s="161">
        <v>6</v>
      </c>
      <c r="BT233" s="161">
        <v>6</v>
      </c>
      <c r="BU233" s="161">
        <v>5</v>
      </c>
      <c r="BV233" s="29">
        <f t="shared" si="72"/>
        <v>180</v>
      </c>
      <c r="BW233" s="29">
        <f t="shared" si="73"/>
        <v>239.3</v>
      </c>
      <c r="BX233" s="29" t="s">
        <v>890</v>
      </c>
      <c r="BY233" s="29" t="s">
        <v>735</v>
      </c>
      <c r="BZ233" s="254"/>
      <c r="CA233" s="254"/>
      <c r="CB233" s="254"/>
      <c r="CC233" s="15"/>
      <c r="CD233" s="15"/>
      <c r="CE233" s="15"/>
      <c r="CF233" s="15"/>
      <c r="CG233" s="15"/>
      <c r="CH233" s="15"/>
      <c r="CI233" s="15"/>
      <c r="CJ233" s="15"/>
    </row>
    <row r="234" spans="1:88" s="117" customFormat="1" ht="30" x14ac:dyDescent="0.25">
      <c r="A234" s="256">
        <v>41713</v>
      </c>
      <c r="B234" s="256"/>
      <c r="C234" s="228" t="s">
        <v>1964</v>
      </c>
      <c r="D234" s="228" t="s">
        <v>60</v>
      </c>
      <c r="E234" s="277" t="s">
        <v>1954</v>
      </c>
      <c r="F234" s="252" t="s">
        <v>1965</v>
      </c>
      <c r="G234" s="161" t="s">
        <v>1373</v>
      </c>
      <c r="H234" s="161" t="s">
        <v>1966</v>
      </c>
      <c r="I234" s="207"/>
      <c r="J234" s="27"/>
      <c r="K234" s="27"/>
      <c r="L234" s="28"/>
      <c r="M234" s="253"/>
      <c r="N234" s="253"/>
      <c r="O234" s="253"/>
      <c r="P234" s="253"/>
      <c r="Q234" s="253"/>
      <c r="R234" s="253"/>
      <c r="S234" s="253"/>
      <c r="T234" s="253"/>
      <c r="U234" s="275"/>
      <c r="V234" s="275"/>
      <c r="W234" s="27"/>
      <c r="X234" s="275"/>
      <c r="Y234" s="201"/>
      <c r="Z234" s="275"/>
      <c r="AA234" s="201"/>
      <c r="AB234" s="250" t="s">
        <v>1967</v>
      </c>
      <c r="AC234" s="161"/>
      <c r="AD234" s="161"/>
      <c r="AE234" s="161"/>
      <c r="AF234" s="161"/>
      <c r="AG234" s="161"/>
      <c r="AH234" s="161"/>
      <c r="AI234" s="161"/>
      <c r="AJ234" s="161"/>
      <c r="AK234" s="240"/>
      <c r="AL234" s="161"/>
      <c r="AM234" s="161"/>
      <c r="AN234" s="161"/>
      <c r="AO234" s="161"/>
      <c r="AP234" s="161"/>
      <c r="AQ234" s="161"/>
      <c r="AR234" s="280">
        <v>73.28</v>
      </c>
      <c r="AS234" s="191">
        <v>0.5</v>
      </c>
      <c r="AT234" s="191">
        <v>0.55000000000000004</v>
      </c>
      <c r="AU234" s="191">
        <v>0.4</v>
      </c>
      <c r="AV234" s="161"/>
      <c r="AW234" s="161"/>
      <c r="AX234" s="262" t="s">
        <v>1968</v>
      </c>
      <c r="AY234" s="262" t="s">
        <v>1969</v>
      </c>
      <c r="AZ234" s="262"/>
      <c r="BA234" s="262"/>
      <c r="BB234" s="262"/>
      <c r="BC234" s="262"/>
      <c r="BD234" s="262"/>
      <c r="BE234" s="262"/>
      <c r="BF234" s="235">
        <v>3.992</v>
      </c>
      <c r="BG234" s="235">
        <v>3.992</v>
      </c>
      <c r="BH234" s="228">
        <v>8.234</v>
      </c>
      <c r="BI234" s="157">
        <f>(BF234*BG234*BH234)/1728</f>
        <v>7.5936082740740748E-2</v>
      </c>
      <c r="BJ234" s="235">
        <v>0.8</v>
      </c>
      <c r="BK234" s="235">
        <v>16.556000000000001</v>
      </c>
      <c r="BL234" s="235">
        <v>12.555999999999999</v>
      </c>
      <c r="BM234" s="235">
        <v>8.8620000000000001</v>
      </c>
      <c r="BN234" s="157">
        <f t="shared" si="71"/>
        <v>1.0660921176111111</v>
      </c>
      <c r="BO234" s="153">
        <f>BJ234*BS234+0.25</f>
        <v>9.8500000000000014</v>
      </c>
      <c r="BP234" s="360"/>
      <c r="BQ234" s="360"/>
      <c r="BR234" s="161" t="s">
        <v>733</v>
      </c>
      <c r="BS234" s="228">
        <v>12</v>
      </c>
      <c r="BT234" s="228">
        <v>8</v>
      </c>
      <c r="BU234" s="228">
        <v>4</v>
      </c>
      <c r="BV234" s="29">
        <f t="shared" si="72"/>
        <v>384</v>
      </c>
      <c r="BW234" s="29">
        <f t="shared" si="73"/>
        <v>365.20000000000005</v>
      </c>
      <c r="BX234" s="29" t="s">
        <v>890</v>
      </c>
      <c r="BY234" s="29" t="s">
        <v>735</v>
      </c>
      <c r="BZ234" s="254"/>
      <c r="CA234" s="254"/>
      <c r="CB234" s="254"/>
      <c r="CC234" s="15"/>
      <c r="CD234" s="15"/>
      <c r="CE234" s="15"/>
      <c r="CF234" s="15"/>
      <c r="CG234" s="15"/>
      <c r="CH234" s="15"/>
      <c r="CI234" s="15"/>
      <c r="CJ234" s="15"/>
    </row>
    <row r="235" spans="1:88" s="117" customFormat="1" x14ac:dyDescent="0.25">
      <c r="A235" s="256">
        <v>41713</v>
      </c>
      <c r="B235" s="256"/>
      <c r="C235" s="228" t="s">
        <v>1970</v>
      </c>
      <c r="D235" s="161" t="s">
        <v>746</v>
      </c>
      <c r="E235" s="277" t="s">
        <v>1940</v>
      </c>
      <c r="F235" s="252" t="s">
        <v>1971</v>
      </c>
      <c r="G235" s="161" t="s">
        <v>967</v>
      </c>
      <c r="H235" s="161" t="s">
        <v>1972</v>
      </c>
      <c r="I235" s="207"/>
      <c r="J235" s="27"/>
      <c r="K235" s="27"/>
      <c r="L235" s="28"/>
      <c r="M235" s="253"/>
      <c r="N235" s="253"/>
      <c r="O235" s="253"/>
      <c r="P235" s="253"/>
      <c r="Q235" s="253"/>
      <c r="R235" s="253"/>
      <c r="S235" s="253"/>
      <c r="T235" s="253"/>
      <c r="U235" s="275"/>
      <c r="V235" s="275"/>
      <c r="W235" s="27"/>
      <c r="X235" s="275"/>
      <c r="Y235" s="201"/>
      <c r="Z235" s="275"/>
      <c r="AA235" s="201"/>
      <c r="AB235" s="250" t="s">
        <v>1973</v>
      </c>
      <c r="AC235" s="161"/>
      <c r="AD235" s="161"/>
      <c r="AE235" s="161" t="s">
        <v>1974</v>
      </c>
      <c r="AF235" s="161"/>
      <c r="AG235" s="161"/>
      <c r="AH235" s="161"/>
      <c r="AI235" s="161"/>
      <c r="AJ235" s="161"/>
      <c r="AK235" s="240"/>
      <c r="AL235" s="161" t="s">
        <v>1975</v>
      </c>
      <c r="AM235" s="161" t="s">
        <v>1976</v>
      </c>
      <c r="AN235" s="161" t="s">
        <v>1977</v>
      </c>
      <c r="AO235" s="161"/>
      <c r="AP235" s="161" t="s">
        <v>1978</v>
      </c>
      <c r="AQ235" s="161">
        <v>49049</v>
      </c>
      <c r="AR235" s="161"/>
      <c r="AS235" s="161"/>
      <c r="AT235" s="161"/>
      <c r="AU235" s="161"/>
      <c r="AV235" s="161"/>
      <c r="AW235" s="161"/>
      <c r="AX235" s="262" t="s">
        <v>1979</v>
      </c>
      <c r="AY235" s="262" t="s">
        <v>1980</v>
      </c>
      <c r="AZ235" s="262"/>
      <c r="BA235" s="262"/>
      <c r="BB235" s="262"/>
      <c r="BC235" s="262"/>
      <c r="BD235" s="262"/>
      <c r="BE235" s="262"/>
      <c r="BF235" s="235">
        <v>9.7859999999999996</v>
      </c>
      <c r="BG235" s="235">
        <v>2.3460000000000001</v>
      </c>
      <c r="BH235" s="228">
        <v>9.8219999999999992</v>
      </c>
      <c r="BI235" s="157">
        <f>(BF235*BG235*BH235)/1728</f>
        <v>0.13049365962499998</v>
      </c>
      <c r="BJ235" s="235">
        <v>0.56000000000000005</v>
      </c>
      <c r="BK235" s="235">
        <v>10.25</v>
      </c>
      <c r="BL235" s="235">
        <v>7.75</v>
      </c>
      <c r="BM235" s="235">
        <v>10.5</v>
      </c>
      <c r="BN235" s="157">
        <f t="shared" si="71"/>
        <v>0.4826931423611111</v>
      </c>
      <c r="BO235" s="153">
        <f>BJ235*BS235+0.25</f>
        <v>1.9300000000000002</v>
      </c>
      <c r="BP235" s="360"/>
      <c r="BQ235" s="360"/>
      <c r="BR235" s="161" t="s">
        <v>733</v>
      </c>
      <c r="BS235" s="228">
        <v>3</v>
      </c>
      <c r="BT235" s="228">
        <v>22</v>
      </c>
      <c r="BU235" s="228">
        <v>4</v>
      </c>
      <c r="BV235" s="29">
        <f t="shared" si="72"/>
        <v>264</v>
      </c>
      <c r="BW235" s="29">
        <f t="shared" si="73"/>
        <v>219.84</v>
      </c>
      <c r="BX235" s="29" t="s">
        <v>890</v>
      </c>
      <c r="BY235" s="29" t="s">
        <v>735</v>
      </c>
      <c r="BZ235" s="254"/>
      <c r="CA235" s="254"/>
      <c r="CB235" s="254"/>
      <c r="CC235" s="15"/>
      <c r="CD235" s="15"/>
      <c r="CE235" s="15"/>
      <c r="CF235" s="15"/>
      <c r="CG235" s="15"/>
      <c r="CH235" s="15"/>
      <c r="CI235" s="15"/>
      <c r="CJ235" s="15"/>
    </row>
    <row r="236" spans="1:88" s="117" customFormat="1" x14ac:dyDescent="0.25">
      <c r="A236" s="256">
        <v>41713</v>
      </c>
      <c r="B236" s="256"/>
      <c r="C236" s="228" t="s">
        <v>1981</v>
      </c>
      <c r="D236" s="228" t="s">
        <v>746</v>
      </c>
      <c r="E236" s="277" t="s">
        <v>1982</v>
      </c>
      <c r="F236" s="252" t="s">
        <v>1983</v>
      </c>
      <c r="G236" s="161" t="s">
        <v>1984</v>
      </c>
      <c r="H236" s="161" t="s">
        <v>1985</v>
      </c>
      <c r="I236" s="207"/>
      <c r="J236" s="27"/>
      <c r="K236" s="27"/>
      <c r="L236" s="28"/>
      <c r="M236" s="253"/>
      <c r="N236" s="253"/>
      <c r="O236" s="253"/>
      <c r="P236" s="253"/>
      <c r="Q236" s="253"/>
      <c r="R236" s="253"/>
      <c r="S236" s="253"/>
      <c r="T236" s="253"/>
      <c r="U236" s="275"/>
      <c r="V236" s="275"/>
      <c r="W236" s="27"/>
      <c r="X236" s="275"/>
      <c r="Y236" s="201"/>
      <c r="Z236" s="275"/>
      <c r="AA236" s="201"/>
      <c r="AB236" s="250" t="s">
        <v>1986</v>
      </c>
      <c r="AC236" s="161"/>
      <c r="AD236" s="161"/>
      <c r="AE236" s="161"/>
      <c r="AF236" s="161"/>
      <c r="AG236" s="161"/>
      <c r="AH236" s="161"/>
      <c r="AI236" s="161"/>
      <c r="AJ236" s="161"/>
      <c r="AK236" s="240"/>
      <c r="AL236" s="161"/>
      <c r="AM236" s="161" t="s">
        <v>1987</v>
      </c>
      <c r="AN236" s="161" t="s">
        <v>1988</v>
      </c>
      <c r="AO236" s="161"/>
      <c r="AP236" s="161"/>
      <c r="AQ236" s="161">
        <v>57070</v>
      </c>
      <c r="AR236" s="161"/>
      <c r="AS236" s="161"/>
      <c r="AT236" s="161"/>
      <c r="AU236" s="161"/>
      <c r="AV236" s="161"/>
      <c r="AW236" s="161"/>
      <c r="AX236" s="262" t="s">
        <v>1989</v>
      </c>
      <c r="AY236" s="262" t="s">
        <v>1990</v>
      </c>
      <c r="AZ236" s="262"/>
      <c r="BA236" s="262"/>
      <c r="BB236" s="262"/>
      <c r="BC236" s="262"/>
      <c r="BD236" s="262"/>
      <c r="BE236" s="262"/>
      <c r="BF236" s="153">
        <v>3.1859999999999999</v>
      </c>
      <c r="BG236" s="153">
        <v>3.1859999999999999</v>
      </c>
      <c r="BH236" s="228">
        <v>6.0720000000000001</v>
      </c>
      <c r="BI236" s="157">
        <f>(BF236*BG236*BH236)/1728</f>
        <v>3.5668066499999998E-2</v>
      </c>
      <c r="BJ236" s="153">
        <v>0.27</v>
      </c>
      <c r="BK236" s="235">
        <v>10</v>
      </c>
      <c r="BL236" s="235">
        <v>6.75</v>
      </c>
      <c r="BM236" s="235">
        <v>6.62</v>
      </c>
      <c r="BN236" s="157">
        <f t="shared" si="71"/>
        <v>0.25859375000000001</v>
      </c>
      <c r="BO236" s="235">
        <f>BJ236*BS236+0.25</f>
        <v>1.87</v>
      </c>
      <c r="BP236" s="365"/>
      <c r="BQ236" s="365"/>
      <c r="BR236" s="161" t="s">
        <v>733</v>
      </c>
      <c r="BS236" s="228">
        <v>6</v>
      </c>
      <c r="BT236" s="228">
        <v>26</v>
      </c>
      <c r="BU236" s="228">
        <v>6</v>
      </c>
      <c r="BV236" s="29">
        <f t="shared" si="72"/>
        <v>936</v>
      </c>
      <c r="BW236" s="29">
        <f t="shared" si="73"/>
        <v>341.72</v>
      </c>
      <c r="BX236" s="29" t="s">
        <v>950</v>
      </c>
      <c r="BY236" s="29" t="s">
        <v>735</v>
      </c>
      <c r="BZ236" s="254"/>
      <c r="CA236" s="254"/>
      <c r="CB236" s="254"/>
      <c r="CC236" s="15"/>
      <c r="CD236" s="15"/>
      <c r="CE236" s="15"/>
      <c r="CF236" s="15"/>
      <c r="CG236" s="15"/>
      <c r="CH236" s="15"/>
      <c r="CI236" s="15"/>
      <c r="CJ236" s="15"/>
    </row>
    <row r="237" spans="1:88" s="283" customFormat="1" ht="30" x14ac:dyDescent="0.25">
      <c r="A237" s="256">
        <v>41699</v>
      </c>
      <c r="B237" s="256"/>
      <c r="C237" s="161" t="s">
        <v>1991</v>
      </c>
      <c r="D237" s="161" t="s">
        <v>746</v>
      </c>
      <c r="E237" s="277" t="s">
        <v>1992</v>
      </c>
      <c r="F237" s="250" t="s">
        <v>1993</v>
      </c>
      <c r="G237" s="240" t="s">
        <v>802</v>
      </c>
      <c r="H237" s="277" t="s">
        <v>1994</v>
      </c>
      <c r="I237" s="27"/>
      <c r="J237" s="27"/>
      <c r="K237" s="27"/>
      <c r="L237" s="28"/>
      <c r="M237" s="240"/>
      <c r="N237" s="240"/>
      <c r="O237" s="240"/>
      <c r="P237" s="240"/>
      <c r="Q237" s="240"/>
      <c r="R237" s="240"/>
      <c r="S237" s="240"/>
      <c r="T237" s="240"/>
      <c r="U237" s="275"/>
      <c r="V237" s="275"/>
      <c r="W237" s="27"/>
      <c r="X237" s="275"/>
      <c r="Y237" s="201"/>
      <c r="Z237" s="275"/>
      <c r="AA237" s="20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240"/>
      <c r="AL237" s="161"/>
      <c r="AM237" s="161"/>
      <c r="AN237" s="161"/>
      <c r="AO237" s="161"/>
      <c r="AP237" s="161"/>
      <c r="AQ237" s="260"/>
      <c r="AR237" s="281">
        <v>20</v>
      </c>
      <c r="AS237" s="260"/>
      <c r="AT237" s="260"/>
      <c r="AU237" s="260"/>
      <c r="AV237" s="260"/>
      <c r="AW237" s="260"/>
      <c r="AX237" s="262" t="s">
        <v>1995</v>
      </c>
      <c r="AY237" s="262" t="s">
        <v>1996</v>
      </c>
      <c r="AZ237" s="262"/>
      <c r="BA237" s="262"/>
      <c r="BB237" s="262"/>
      <c r="BC237" s="262"/>
      <c r="BD237" s="262"/>
      <c r="BE237" s="262"/>
      <c r="BF237" s="451" t="s">
        <v>1509</v>
      </c>
      <c r="BG237" s="455"/>
      <c r="BH237" s="455"/>
      <c r="BI237" s="455"/>
      <c r="BJ237" s="455"/>
      <c r="BK237" s="153">
        <v>11.75</v>
      </c>
      <c r="BL237" s="153">
        <v>10.5</v>
      </c>
      <c r="BM237" s="153">
        <v>7.375</v>
      </c>
      <c r="BN237" s="157">
        <f t="shared" si="71"/>
        <v>0.52655707465277779</v>
      </c>
      <c r="BO237" s="153">
        <v>2.35</v>
      </c>
      <c r="BP237" s="360"/>
      <c r="BQ237" s="360"/>
      <c r="BR237" s="161" t="s">
        <v>733</v>
      </c>
      <c r="BS237" s="161">
        <v>6</v>
      </c>
      <c r="BT237" s="161">
        <v>12</v>
      </c>
      <c r="BU237" s="161">
        <v>6</v>
      </c>
      <c r="BV237" s="29">
        <f t="shared" si="72"/>
        <v>432</v>
      </c>
      <c r="BW237" s="29">
        <f t="shared" si="73"/>
        <v>219.20000000000002</v>
      </c>
      <c r="BX237" s="29" t="s">
        <v>743</v>
      </c>
      <c r="BY237" s="29" t="s">
        <v>735</v>
      </c>
      <c r="BZ237" s="15"/>
      <c r="CA237" s="15"/>
      <c r="CB237" s="15"/>
      <c r="CC237" s="282"/>
      <c r="CD237" s="282"/>
      <c r="CE237" s="282"/>
      <c r="CF237" s="282"/>
      <c r="CG237" s="282"/>
      <c r="CH237" s="282"/>
      <c r="CI237" s="282"/>
      <c r="CJ237" s="282"/>
    </row>
    <row r="238" spans="1:88" s="283" customFormat="1" x14ac:dyDescent="0.25">
      <c r="A238" s="256">
        <v>41699</v>
      </c>
      <c r="B238" s="256"/>
      <c r="C238" s="228" t="s">
        <v>1997</v>
      </c>
      <c r="D238" s="228" t="s">
        <v>746</v>
      </c>
      <c r="E238" s="277" t="s">
        <v>1891</v>
      </c>
      <c r="F238" s="252" t="s">
        <v>1998</v>
      </c>
      <c r="G238" s="252" t="s">
        <v>802</v>
      </c>
      <c r="H238" s="252" t="s">
        <v>1999</v>
      </c>
      <c r="I238" s="207"/>
      <c r="J238" s="27"/>
      <c r="K238" s="27"/>
      <c r="L238" s="28"/>
      <c r="M238" s="240"/>
      <c r="N238" s="240"/>
      <c r="O238" s="240"/>
      <c r="P238" s="240"/>
      <c r="Q238" s="240"/>
      <c r="R238" s="240"/>
      <c r="S238" s="240"/>
      <c r="T238" s="240"/>
      <c r="U238" s="275"/>
      <c r="V238" s="275"/>
      <c r="W238" s="27">
        <v>83570</v>
      </c>
      <c r="X238" s="275"/>
      <c r="Y238" s="201"/>
      <c r="Z238" s="275"/>
      <c r="AA238" s="201"/>
      <c r="AB238" s="250" t="s">
        <v>2000</v>
      </c>
      <c r="AC238" s="161" t="s">
        <v>2001</v>
      </c>
      <c r="AD238" s="161"/>
      <c r="AE238" s="161" t="s">
        <v>2002</v>
      </c>
      <c r="AF238" s="161"/>
      <c r="AG238" s="161"/>
      <c r="AH238" s="161"/>
      <c r="AI238" s="161"/>
      <c r="AJ238" s="161"/>
      <c r="AK238" s="240">
        <v>9570</v>
      </c>
      <c r="AL238" s="161" t="s">
        <v>2003</v>
      </c>
      <c r="AM238" s="161"/>
      <c r="AN238" s="161" t="s">
        <v>2004</v>
      </c>
      <c r="AO238" s="161"/>
      <c r="AP238" s="161" t="s">
        <v>2005</v>
      </c>
      <c r="AQ238" s="166" t="s">
        <v>2006</v>
      </c>
      <c r="AR238" s="281">
        <v>17.93</v>
      </c>
      <c r="AS238" s="166"/>
      <c r="AT238" s="166"/>
      <c r="AU238" s="166"/>
      <c r="AV238" s="166"/>
      <c r="AW238" s="166"/>
      <c r="AX238" s="262" t="s">
        <v>2007</v>
      </c>
      <c r="AY238" s="262" t="s">
        <v>2008</v>
      </c>
      <c r="AZ238" s="262"/>
      <c r="BA238" s="262"/>
      <c r="BB238" s="262"/>
      <c r="BC238" s="262"/>
      <c r="BD238" s="262"/>
      <c r="BE238" s="262"/>
      <c r="BF238" s="235">
        <v>7.7859999999999996</v>
      </c>
      <c r="BG238" s="235">
        <v>2.536</v>
      </c>
      <c r="BH238" s="235">
        <v>9.0719999999999992</v>
      </c>
      <c r="BI238" s="157">
        <f>(BH238*BG238*BF238)/1728</f>
        <v>0.10366280399999998</v>
      </c>
      <c r="BJ238" s="235">
        <v>0.3</v>
      </c>
      <c r="BK238" s="235">
        <v>9.75</v>
      </c>
      <c r="BL238" s="235">
        <v>8.18</v>
      </c>
      <c r="BM238" s="235">
        <v>8.5</v>
      </c>
      <c r="BN238" s="157">
        <f t="shared" si="71"/>
        <v>0.39231336805555556</v>
      </c>
      <c r="BO238" s="153">
        <f>BJ238*BS238+0.25</f>
        <v>1.1499999999999999</v>
      </c>
      <c r="BP238" s="360"/>
      <c r="BQ238" s="360"/>
      <c r="BR238" s="161" t="s">
        <v>733</v>
      </c>
      <c r="BS238" s="228">
        <v>3</v>
      </c>
      <c r="BT238" s="228">
        <v>20</v>
      </c>
      <c r="BU238" s="228">
        <v>5</v>
      </c>
      <c r="BV238" s="29">
        <f t="shared" si="72"/>
        <v>300</v>
      </c>
      <c r="BW238" s="29">
        <f t="shared" si="73"/>
        <v>165</v>
      </c>
      <c r="BX238" s="29" t="s">
        <v>743</v>
      </c>
      <c r="BY238" s="29" t="s">
        <v>735</v>
      </c>
      <c r="BZ238" s="15"/>
      <c r="CA238" s="15"/>
      <c r="CB238" s="15"/>
      <c r="CC238" s="282"/>
      <c r="CD238" s="282"/>
      <c r="CE238" s="282"/>
      <c r="CF238" s="282"/>
      <c r="CG238" s="282"/>
      <c r="CH238" s="282"/>
      <c r="CI238" s="282"/>
      <c r="CJ238" s="282"/>
    </row>
    <row r="239" spans="1:88" s="283" customFormat="1" x14ac:dyDescent="0.25">
      <c r="A239" s="256">
        <v>41699</v>
      </c>
      <c r="B239" s="256"/>
      <c r="C239" s="228" t="s">
        <v>2009</v>
      </c>
      <c r="D239" s="228" t="s">
        <v>746</v>
      </c>
      <c r="E239" s="277" t="s">
        <v>1891</v>
      </c>
      <c r="F239" s="252" t="s">
        <v>2010</v>
      </c>
      <c r="G239" s="252" t="s">
        <v>1029</v>
      </c>
      <c r="H239" s="252" t="s">
        <v>2011</v>
      </c>
      <c r="I239" s="207" t="s">
        <v>1537</v>
      </c>
      <c r="J239" s="27" t="s">
        <v>2012</v>
      </c>
      <c r="K239" s="27"/>
      <c r="L239" s="28"/>
      <c r="M239" s="240"/>
      <c r="N239" s="240"/>
      <c r="O239" s="240"/>
      <c r="P239" s="240"/>
      <c r="Q239" s="240"/>
      <c r="R239" s="240"/>
      <c r="S239" s="240"/>
      <c r="T239" s="240"/>
      <c r="U239" s="275"/>
      <c r="V239" s="275"/>
      <c r="W239" s="27">
        <v>83740</v>
      </c>
      <c r="X239" s="275"/>
      <c r="Y239" s="201"/>
      <c r="Z239" s="275"/>
      <c r="AA239" s="201"/>
      <c r="AB239" s="250" t="s">
        <v>2013</v>
      </c>
      <c r="AC239" s="161" t="s">
        <v>2014</v>
      </c>
      <c r="AD239" s="161" t="s">
        <v>2015</v>
      </c>
      <c r="AE239" s="161" t="s">
        <v>2016</v>
      </c>
      <c r="AF239" s="161"/>
      <c r="AG239" s="161"/>
      <c r="AH239" s="161"/>
      <c r="AI239" s="161"/>
      <c r="AJ239" s="161"/>
      <c r="AK239" s="240">
        <v>9740</v>
      </c>
      <c r="AL239" s="161" t="s">
        <v>2017</v>
      </c>
      <c r="AM239" s="161" t="s">
        <v>2018</v>
      </c>
      <c r="AN239" s="161" t="s">
        <v>2019</v>
      </c>
      <c r="AO239" s="161"/>
      <c r="AP239" s="161" t="s">
        <v>2020</v>
      </c>
      <c r="AQ239" s="166">
        <v>49740</v>
      </c>
      <c r="AR239" s="281">
        <v>14.46</v>
      </c>
      <c r="AS239" s="166"/>
      <c r="AT239" s="166"/>
      <c r="AU239" s="166"/>
      <c r="AV239" s="166"/>
      <c r="AW239" s="166"/>
      <c r="AX239" s="262" t="s">
        <v>2021</v>
      </c>
      <c r="AY239" s="262" t="s">
        <v>2022</v>
      </c>
      <c r="AZ239" s="262"/>
      <c r="BA239" s="262"/>
      <c r="BB239" s="262"/>
      <c r="BC239" s="262"/>
      <c r="BD239" s="262"/>
      <c r="BE239" s="262"/>
      <c r="BF239" s="235">
        <v>6.5359999999999996</v>
      </c>
      <c r="BG239" s="235">
        <v>1.786</v>
      </c>
      <c r="BH239" s="235">
        <v>13.321999999999999</v>
      </c>
      <c r="BI239" s="157">
        <f>(BH239*BG239*BF239)/1728</f>
        <v>8.9995167425925907E-2</v>
      </c>
      <c r="BJ239" s="153">
        <f>0.404</f>
        <v>0.40400000000000003</v>
      </c>
      <c r="BK239" s="153">
        <v>14</v>
      </c>
      <c r="BL239" s="153">
        <v>7.75</v>
      </c>
      <c r="BM239" s="153">
        <v>6.5</v>
      </c>
      <c r="BN239" s="157">
        <f t="shared" si="71"/>
        <v>0.40813078703703703</v>
      </c>
      <c r="BO239" s="235">
        <f>BJ239*BS239+0.25</f>
        <v>1.4620000000000002</v>
      </c>
      <c r="BP239" s="365"/>
      <c r="BQ239" s="365"/>
      <c r="BR239" s="228" t="s">
        <v>733</v>
      </c>
      <c r="BS239" s="228">
        <v>3</v>
      </c>
      <c r="BT239" s="228">
        <v>15</v>
      </c>
      <c r="BU239" s="228">
        <v>6</v>
      </c>
      <c r="BV239" s="29">
        <f t="shared" si="72"/>
        <v>270</v>
      </c>
      <c r="BW239" s="29">
        <f t="shared" si="73"/>
        <v>181.58</v>
      </c>
      <c r="BX239" s="161" t="s">
        <v>782</v>
      </c>
      <c r="BY239" s="29" t="s">
        <v>735</v>
      </c>
      <c r="BZ239" s="15"/>
      <c r="CA239" s="15"/>
      <c r="CB239" s="15"/>
      <c r="CC239" s="282"/>
      <c r="CD239" s="282"/>
      <c r="CE239" s="282"/>
      <c r="CF239" s="282"/>
      <c r="CG239" s="282"/>
      <c r="CH239" s="282"/>
      <c r="CI239" s="282"/>
      <c r="CJ239" s="282"/>
    </row>
    <row r="240" spans="1:88" s="283" customFormat="1" x14ac:dyDescent="0.25">
      <c r="A240" s="256">
        <v>41699</v>
      </c>
      <c r="B240" s="256"/>
      <c r="C240" s="228" t="s">
        <v>2023</v>
      </c>
      <c r="D240" s="161" t="s">
        <v>746</v>
      </c>
      <c r="E240" s="277" t="s">
        <v>1891</v>
      </c>
      <c r="F240" s="252" t="s">
        <v>2024</v>
      </c>
      <c r="G240" s="240" t="s">
        <v>802</v>
      </c>
      <c r="H240" s="252" t="s">
        <v>2025</v>
      </c>
      <c r="I240" s="207"/>
      <c r="J240" s="27"/>
      <c r="K240" s="27"/>
      <c r="L240" s="28"/>
      <c r="M240" s="240"/>
      <c r="N240" s="240"/>
      <c r="O240" s="240"/>
      <c r="P240" s="240"/>
      <c r="Q240" s="240"/>
      <c r="R240" s="240"/>
      <c r="S240" s="240"/>
      <c r="T240" s="240"/>
      <c r="U240" s="27" t="s">
        <v>2026</v>
      </c>
      <c r="V240" s="275"/>
      <c r="W240" s="27">
        <v>83038</v>
      </c>
      <c r="X240" s="275"/>
      <c r="Y240" s="201"/>
      <c r="Z240" s="275"/>
      <c r="AA240" s="201"/>
      <c r="AB240" s="250" t="s">
        <v>2027</v>
      </c>
      <c r="AC240" s="166" t="s">
        <v>2028</v>
      </c>
      <c r="AD240" s="161"/>
      <c r="AE240" s="27" t="s">
        <v>1189</v>
      </c>
      <c r="AF240" s="27"/>
      <c r="AG240" s="161"/>
      <c r="AH240" s="161"/>
      <c r="AI240" s="161"/>
      <c r="AJ240" s="161"/>
      <c r="AK240" s="27" t="s">
        <v>2029</v>
      </c>
      <c r="AL240" s="161" t="s">
        <v>2030</v>
      </c>
      <c r="AM240" s="27" t="s">
        <v>2031</v>
      </c>
      <c r="AN240" s="161" t="s">
        <v>2032</v>
      </c>
      <c r="AO240" s="161"/>
      <c r="AP240" s="161" t="s">
        <v>2033</v>
      </c>
      <c r="AQ240" s="166" t="s">
        <v>2034</v>
      </c>
      <c r="AR240" s="281">
        <v>10.31</v>
      </c>
      <c r="AS240" s="166"/>
      <c r="AT240" s="166"/>
      <c r="AU240" s="166"/>
      <c r="AV240" s="166"/>
      <c r="AW240" s="166"/>
      <c r="AX240" s="262" t="s">
        <v>2035</v>
      </c>
      <c r="AY240" s="262" t="s">
        <v>2036</v>
      </c>
      <c r="AZ240" s="262"/>
      <c r="BA240" s="262"/>
      <c r="BB240" s="262"/>
      <c r="BC240" s="262"/>
      <c r="BD240" s="262"/>
      <c r="BE240" s="262"/>
      <c r="BF240" s="235">
        <v>6.5359999999999996</v>
      </c>
      <c r="BG240" s="235">
        <v>1.6559999999999999</v>
      </c>
      <c r="BH240" s="235">
        <v>11.071999999999999</v>
      </c>
      <c r="BI240" s="157">
        <f>(BH240*BG240*BF240)/1728</f>
        <v>6.9351317333333315E-2</v>
      </c>
      <c r="BJ240" s="235">
        <v>0.31</v>
      </c>
      <c r="BK240" s="235">
        <v>11.93</v>
      </c>
      <c r="BL240" s="235">
        <v>8</v>
      </c>
      <c r="BM240" s="235">
        <v>6</v>
      </c>
      <c r="BN240" s="157">
        <f t="shared" si="71"/>
        <v>0.3313888888888889</v>
      </c>
      <c r="BO240" s="153">
        <f>BJ240*BS240+0.25</f>
        <v>1.18</v>
      </c>
      <c r="BP240" s="360"/>
      <c r="BQ240" s="360"/>
      <c r="BR240" s="161" t="s">
        <v>733</v>
      </c>
      <c r="BS240" s="228">
        <v>3</v>
      </c>
      <c r="BT240" s="228">
        <v>20</v>
      </c>
      <c r="BU240" s="228">
        <v>7</v>
      </c>
      <c r="BV240" s="29">
        <f t="shared" si="72"/>
        <v>420</v>
      </c>
      <c r="BW240" s="29">
        <f t="shared" si="73"/>
        <v>215.2</v>
      </c>
      <c r="BX240" s="29" t="s">
        <v>734</v>
      </c>
      <c r="BY240" s="29" t="s">
        <v>735</v>
      </c>
      <c r="BZ240" s="15"/>
      <c r="CA240" s="15"/>
      <c r="CB240" s="15"/>
      <c r="CC240" s="282"/>
      <c r="CD240" s="282"/>
      <c r="CE240" s="282"/>
      <c r="CF240" s="282"/>
      <c r="CG240" s="282"/>
      <c r="CH240" s="282"/>
      <c r="CI240" s="282"/>
      <c r="CJ240" s="282"/>
    </row>
    <row r="241" spans="1:88" s="283" customFormat="1" ht="30" x14ac:dyDescent="0.25">
      <c r="A241" s="256">
        <v>41699</v>
      </c>
      <c r="B241" s="256"/>
      <c r="C241" s="228" t="s">
        <v>2037</v>
      </c>
      <c r="D241" s="228" t="s">
        <v>746</v>
      </c>
      <c r="E241" s="277" t="s">
        <v>1992</v>
      </c>
      <c r="F241" s="250" t="s">
        <v>2038</v>
      </c>
      <c r="G241" s="240" t="s">
        <v>1048</v>
      </c>
      <c r="H241" s="252" t="s">
        <v>2039</v>
      </c>
      <c r="I241" s="207"/>
      <c r="J241" s="27"/>
      <c r="K241" s="27"/>
      <c r="L241" s="28"/>
      <c r="M241" s="240"/>
      <c r="N241" s="240"/>
      <c r="O241" s="240"/>
      <c r="P241" s="240"/>
      <c r="Q241" s="240"/>
      <c r="R241" s="240"/>
      <c r="S241" s="240"/>
      <c r="T241" s="240"/>
      <c r="U241" s="275"/>
      <c r="V241" s="275"/>
      <c r="W241" s="27">
        <v>83369</v>
      </c>
      <c r="X241" s="275"/>
      <c r="Y241" s="201"/>
      <c r="Z241" s="275"/>
      <c r="AA241" s="201"/>
      <c r="AB241" s="161"/>
      <c r="AC241" s="166" t="s">
        <v>2040</v>
      </c>
      <c r="AD241" s="161"/>
      <c r="AE241" s="161"/>
      <c r="AF241" s="161"/>
      <c r="AG241" s="161"/>
      <c r="AH241" s="161" t="s">
        <v>2041</v>
      </c>
      <c r="AI241" s="161"/>
      <c r="AJ241" s="161"/>
      <c r="AK241" s="240"/>
      <c r="AL241" s="161"/>
      <c r="AM241" s="161" t="s">
        <v>2037</v>
      </c>
      <c r="AN241" s="161"/>
      <c r="AO241" s="161"/>
      <c r="AP241" s="161"/>
      <c r="AQ241" s="161" t="s">
        <v>2042</v>
      </c>
      <c r="AR241" s="281">
        <v>14.65</v>
      </c>
      <c r="AS241" s="161"/>
      <c r="AT241" s="161"/>
      <c r="AU241" s="161"/>
      <c r="AV241" s="161"/>
      <c r="AW241" s="161"/>
      <c r="AX241" s="262" t="s">
        <v>2043</v>
      </c>
      <c r="AY241" s="262" t="s">
        <v>2044</v>
      </c>
      <c r="AZ241" s="262"/>
      <c r="BA241" s="262"/>
      <c r="BB241" s="262"/>
      <c r="BC241" s="262"/>
      <c r="BD241" s="262"/>
      <c r="BE241" s="262"/>
      <c r="BF241" s="451" t="s">
        <v>1509</v>
      </c>
      <c r="BG241" s="455"/>
      <c r="BH241" s="455"/>
      <c r="BI241" s="455"/>
      <c r="BJ241" s="455"/>
      <c r="BK241" s="235">
        <v>12.25</v>
      </c>
      <c r="BL241" s="235">
        <v>9</v>
      </c>
      <c r="BM241" s="235">
        <v>7.88</v>
      </c>
      <c r="BN241" s="157">
        <f t="shared" si="71"/>
        <v>0.50276041666666671</v>
      </c>
      <c r="BO241" s="235">
        <v>2.71</v>
      </c>
      <c r="BP241" s="365"/>
      <c r="BQ241" s="365"/>
      <c r="BR241" s="161" t="s">
        <v>733</v>
      </c>
      <c r="BS241" s="228">
        <v>6</v>
      </c>
      <c r="BT241" s="228">
        <v>16</v>
      </c>
      <c r="BU241" s="228">
        <v>5</v>
      </c>
      <c r="BV241" s="29">
        <f t="shared" si="72"/>
        <v>480</v>
      </c>
      <c r="BW241" s="29">
        <f t="shared" si="73"/>
        <v>266.8</v>
      </c>
      <c r="BX241" s="29" t="s">
        <v>743</v>
      </c>
      <c r="BY241" s="29" t="s">
        <v>735</v>
      </c>
      <c r="BZ241" s="15"/>
      <c r="CA241" s="15"/>
      <c r="CB241" s="15"/>
      <c r="CC241" s="282"/>
      <c r="CD241" s="282"/>
      <c r="CE241" s="282"/>
      <c r="CF241" s="282"/>
      <c r="CG241" s="282"/>
      <c r="CH241" s="282"/>
      <c r="CI241" s="282"/>
      <c r="CJ241" s="282"/>
    </row>
    <row r="242" spans="1:88" s="283" customFormat="1" ht="30" x14ac:dyDescent="0.25">
      <c r="A242" s="256">
        <v>41699</v>
      </c>
      <c r="B242" s="256"/>
      <c r="C242" s="228" t="s">
        <v>2045</v>
      </c>
      <c r="D242" s="161" t="s">
        <v>746</v>
      </c>
      <c r="E242" s="277" t="s">
        <v>1992</v>
      </c>
      <c r="F242" s="250" t="s">
        <v>2046</v>
      </c>
      <c r="G242" s="252" t="s">
        <v>967</v>
      </c>
      <c r="H242" s="161" t="s">
        <v>2047</v>
      </c>
      <c r="I242" s="252" t="s">
        <v>967</v>
      </c>
      <c r="J242" s="27" t="s">
        <v>2048</v>
      </c>
      <c r="K242" s="27"/>
      <c r="L242" s="28"/>
      <c r="M242" s="240"/>
      <c r="N242" s="240"/>
      <c r="O242" s="240"/>
      <c r="P242" s="240"/>
      <c r="Q242" s="240"/>
      <c r="R242" s="240"/>
      <c r="S242" s="240"/>
      <c r="T242" s="240"/>
      <c r="U242" s="275"/>
      <c r="V242" s="275"/>
      <c r="W242" s="27"/>
      <c r="X242" s="275"/>
      <c r="Y242" s="201"/>
      <c r="Z242" s="275"/>
      <c r="AA242" s="201"/>
      <c r="AB242" s="27" t="s">
        <v>2049</v>
      </c>
      <c r="AC242" s="166" t="s">
        <v>2050</v>
      </c>
      <c r="AD242" s="27" t="s">
        <v>2051</v>
      </c>
      <c r="AE242" s="161"/>
      <c r="AF242" s="161"/>
      <c r="AG242" s="161"/>
      <c r="AH242" s="27" t="s">
        <v>2052</v>
      </c>
      <c r="AI242" s="161"/>
      <c r="AJ242" s="161"/>
      <c r="AK242" s="27" t="s">
        <v>2053</v>
      </c>
      <c r="AL242" s="161" t="s">
        <v>2054</v>
      </c>
      <c r="AM242" s="27" t="s">
        <v>2045</v>
      </c>
      <c r="AN242" s="161" t="s">
        <v>2054</v>
      </c>
      <c r="AO242" s="161"/>
      <c r="AP242" s="161" t="s">
        <v>2055</v>
      </c>
      <c r="AQ242" s="161" t="s">
        <v>2056</v>
      </c>
      <c r="AR242" s="281">
        <v>25.9</v>
      </c>
      <c r="AS242" s="161"/>
      <c r="AT242" s="161"/>
      <c r="AU242" s="161"/>
      <c r="AV242" s="161"/>
      <c r="AW242" s="161"/>
      <c r="AX242" s="262" t="s">
        <v>2057</v>
      </c>
      <c r="AY242" s="262" t="s">
        <v>2058</v>
      </c>
      <c r="AZ242" s="262"/>
      <c r="BA242" s="262"/>
      <c r="BB242" s="262"/>
      <c r="BC242" s="262"/>
      <c r="BD242" s="262"/>
      <c r="BE242" s="262"/>
      <c r="BF242" s="451" t="s">
        <v>1509</v>
      </c>
      <c r="BG242" s="455"/>
      <c r="BH242" s="455"/>
      <c r="BI242" s="455"/>
      <c r="BJ242" s="455"/>
      <c r="BK242" s="235">
        <v>13.25</v>
      </c>
      <c r="BL242" s="235">
        <v>10</v>
      </c>
      <c r="BM242" s="235">
        <v>6.25</v>
      </c>
      <c r="BN242" s="157">
        <f t="shared" si="71"/>
        <v>0.47923900462962965</v>
      </c>
      <c r="BO242" s="235">
        <v>1.27</v>
      </c>
      <c r="BP242" s="365"/>
      <c r="BQ242" s="365"/>
      <c r="BR242" s="161" t="s">
        <v>733</v>
      </c>
      <c r="BS242" s="228">
        <v>6</v>
      </c>
      <c r="BT242" s="228">
        <v>14</v>
      </c>
      <c r="BU242" s="228">
        <v>7</v>
      </c>
      <c r="BV242" s="29">
        <f t="shared" si="72"/>
        <v>588</v>
      </c>
      <c r="BW242" s="29">
        <f t="shared" si="73"/>
        <v>174.46</v>
      </c>
      <c r="BX242" s="29" t="s">
        <v>743</v>
      </c>
      <c r="BY242" s="29" t="s">
        <v>735</v>
      </c>
      <c r="BZ242" s="15"/>
      <c r="CA242" s="15"/>
      <c r="CB242" s="15"/>
      <c r="CC242" s="282"/>
      <c r="CD242" s="282"/>
      <c r="CE242" s="282"/>
      <c r="CF242" s="282"/>
      <c r="CG242" s="282"/>
      <c r="CH242" s="282"/>
      <c r="CI242" s="282"/>
      <c r="CJ242" s="282"/>
    </row>
    <row r="243" spans="1:88" s="283" customFormat="1" ht="30" x14ac:dyDescent="0.25">
      <c r="A243" s="256">
        <v>41699</v>
      </c>
      <c r="B243" s="256"/>
      <c r="C243" s="228" t="s">
        <v>2059</v>
      </c>
      <c r="D243" s="228" t="s">
        <v>746</v>
      </c>
      <c r="E243" s="277" t="s">
        <v>1992</v>
      </c>
      <c r="F243" s="250" t="s">
        <v>2060</v>
      </c>
      <c r="G243" s="240" t="s">
        <v>777</v>
      </c>
      <c r="H243" s="252">
        <v>2048300018</v>
      </c>
      <c r="I243" s="207"/>
      <c r="J243" s="27"/>
      <c r="K243" s="27"/>
      <c r="L243" s="28"/>
      <c r="M243" s="240"/>
      <c r="N243" s="240"/>
      <c r="O243" s="240"/>
      <c r="P243" s="240"/>
      <c r="Q243" s="240"/>
      <c r="R243" s="240"/>
      <c r="S243" s="240"/>
      <c r="T243" s="240"/>
      <c r="U243" s="275"/>
      <c r="V243" s="275"/>
      <c r="W243" s="27"/>
      <c r="X243" s="275"/>
      <c r="Y243" s="201"/>
      <c r="Z243" s="275"/>
      <c r="AA243" s="201"/>
      <c r="AB243" s="161"/>
      <c r="AC243" s="166" t="s">
        <v>2061</v>
      </c>
      <c r="AD243" s="27" t="s">
        <v>2062</v>
      </c>
      <c r="AE243" s="161"/>
      <c r="AF243" s="161"/>
      <c r="AG243" s="161"/>
      <c r="AH243" s="27" t="s">
        <v>2063</v>
      </c>
      <c r="AI243" s="161"/>
      <c r="AJ243" s="161"/>
      <c r="AK243" s="240">
        <v>9357</v>
      </c>
      <c r="AL243" s="161" t="s">
        <v>2064</v>
      </c>
      <c r="AM243" s="27" t="s">
        <v>2059</v>
      </c>
      <c r="AN243" s="161" t="s">
        <v>2065</v>
      </c>
      <c r="AO243" s="161"/>
      <c r="AP243" s="161" t="s">
        <v>2066</v>
      </c>
      <c r="AQ243" s="161" t="s">
        <v>2067</v>
      </c>
      <c r="AR243" s="281">
        <v>24.94</v>
      </c>
      <c r="AS243" s="161"/>
      <c r="AT243" s="161"/>
      <c r="AU243" s="161"/>
      <c r="AV243" s="161"/>
      <c r="AW243" s="161"/>
      <c r="AX243" s="262" t="s">
        <v>2068</v>
      </c>
      <c r="AY243" s="262" t="s">
        <v>2069</v>
      </c>
      <c r="AZ243" s="262"/>
      <c r="BA243" s="262"/>
      <c r="BB243" s="262"/>
      <c r="BC243" s="262"/>
      <c r="BD243" s="262"/>
      <c r="BE243" s="262"/>
      <c r="BF243" s="451" t="s">
        <v>1509</v>
      </c>
      <c r="BG243" s="455"/>
      <c r="BH243" s="455"/>
      <c r="BI243" s="455"/>
      <c r="BJ243" s="455"/>
      <c r="BK243" s="235">
        <v>22.12</v>
      </c>
      <c r="BL243" s="235">
        <v>12.62</v>
      </c>
      <c r="BM243" s="235">
        <v>12.87</v>
      </c>
      <c r="BN243" s="157">
        <f t="shared" si="71"/>
        <v>2.0791187083333331</v>
      </c>
      <c r="BO243" s="235">
        <v>5.86</v>
      </c>
      <c r="BP243" s="365"/>
      <c r="BQ243" s="365"/>
      <c r="BR243" s="161" t="s">
        <v>733</v>
      </c>
      <c r="BS243" s="228">
        <v>6</v>
      </c>
      <c r="BT243" s="228">
        <v>6</v>
      </c>
      <c r="BU243" s="228">
        <v>3</v>
      </c>
      <c r="BV243" s="29">
        <f t="shared" si="72"/>
        <v>108</v>
      </c>
      <c r="BW243" s="29">
        <f t="shared" si="73"/>
        <v>155.48000000000002</v>
      </c>
      <c r="BX243" s="29" t="s">
        <v>743</v>
      </c>
      <c r="BY243" s="29" t="s">
        <v>735</v>
      </c>
      <c r="BZ243" s="15"/>
      <c r="CA243" s="15"/>
      <c r="CB243" s="15"/>
      <c r="CC243" s="282"/>
      <c r="CD243" s="282"/>
      <c r="CE243" s="282"/>
      <c r="CF243" s="282"/>
      <c r="CG243" s="282"/>
      <c r="CH243" s="282"/>
      <c r="CI243" s="282"/>
      <c r="CJ243" s="282"/>
    </row>
    <row r="244" spans="1:88" s="283" customFormat="1" ht="30" x14ac:dyDescent="0.25">
      <c r="A244" s="256">
        <v>41699</v>
      </c>
      <c r="B244" s="256"/>
      <c r="C244" s="228" t="s">
        <v>2070</v>
      </c>
      <c r="D244" s="161" t="s">
        <v>746</v>
      </c>
      <c r="E244" s="277" t="s">
        <v>1992</v>
      </c>
      <c r="F244" s="250" t="s">
        <v>2071</v>
      </c>
      <c r="G244" s="240" t="s">
        <v>903</v>
      </c>
      <c r="H244" s="252" t="s">
        <v>2072</v>
      </c>
      <c r="I244" s="240" t="s">
        <v>903</v>
      </c>
      <c r="J244" s="27" t="s">
        <v>2073</v>
      </c>
      <c r="K244" s="27"/>
      <c r="L244" s="28"/>
      <c r="M244" s="240"/>
      <c r="N244" s="240"/>
      <c r="O244" s="240"/>
      <c r="P244" s="240"/>
      <c r="Q244" s="240"/>
      <c r="R244" s="240"/>
      <c r="S244" s="240"/>
      <c r="T244" s="240"/>
      <c r="U244" s="275"/>
      <c r="V244" s="275"/>
      <c r="W244" s="27">
        <v>89300</v>
      </c>
      <c r="X244" s="275"/>
      <c r="Y244" s="201"/>
      <c r="Z244" s="275"/>
      <c r="AA244" s="201"/>
      <c r="AB244" s="250" t="s">
        <v>2074</v>
      </c>
      <c r="AC244" s="161"/>
      <c r="AD244" s="161"/>
      <c r="AE244" s="161"/>
      <c r="AF244" s="161"/>
      <c r="AG244" s="161"/>
      <c r="AH244" s="161"/>
      <c r="AI244" s="161"/>
      <c r="AJ244" s="161"/>
      <c r="AK244" s="240">
        <v>4300</v>
      </c>
      <c r="AL244" s="161" t="s">
        <v>2075</v>
      </c>
      <c r="AM244" s="27" t="s">
        <v>2070</v>
      </c>
      <c r="AN244" s="161" t="s">
        <v>2075</v>
      </c>
      <c r="AO244" s="161"/>
      <c r="AP244" s="161" t="s">
        <v>2076</v>
      </c>
      <c r="AQ244" s="161" t="s">
        <v>2077</v>
      </c>
      <c r="AR244" s="281">
        <v>21.73</v>
      </c>
      <c r="AS244" s="161"/>
      <c r="AT244" s="161"/>
      <c r="AU244" s="161"/>
      <c r="AV244" s="161"/>
      <c r="AW244" s="161"/>
      <c r="AX244" s="262" t="s">
        <v>2078</v>
      </c>
      <c r="AY244" s="262" t="s">
        <v>2079</v>
      </c>
      <c r="AZ244" s="262"/>
      <c r="BA244" s="262"/>
      <c r="BB244" s="262"/>
      <c r="BC244" s="262"/>
      <c r="BD244" s="262"/>
      <c r="BE244" s="262"/>
      <c r="BF244" s="451" t="s">
        <v>1509</v>
      </c>
      <c r="BG244" s="455"/>
      <c r="BH244" s="455"/>
      <c r="BI244" s="455"/>
      <c r="BJ244" s="455"/>
      <c r="BK244" s="235">
        <v>12</v>
      </c>
      <c r="BL244" s="235">
        <v>10.37</v>
      </c>
      <c r="BM244" s="235">
        <v>10.62</v>
      </c>
      <c r="BN244" s="157">
        <f t="shared" si="71"/>
        <v>0.76478749999999995</v>
      </c>
      <c r="BO244" s="235">
        <v>1.9</v>
      </c>
      <c r="BP244" s="365"/>
      <c r="BQ244" s="365"/>
      <c r="BR244" s="161" t="s">
        <v>733</v>
      </c>
      <c r="BS244" s="228">
        <v>6</v>
      </c>
      <c r="BT244" s="228">
        <v>12</v>
      </c>
      <c r="BU244" s="228">
        <v>4</v>
      </c>
      <c r="BV244" s="29">
        <f t="shared" si="72"/>
        <v>288</v>
      </c>
      <c r="BW244" s="29">
        <f t="shared" si="73"/>
        <v>141.19999999999999</v>
      </c>
      <c r="BX244" s="29" t="s">
        <v>743</v>
      </c>
      <c r="BY244" s="29" t="s">
        <v>735</v>
      </c>
      <c r="BZ244" s="15"/>
      <c r="CA244" s="15"/>
      <c r="CB244" s="15"/>
      <c r="CC244" s="282"/>
      <c r="CD244" s="282"/>
      <c r="CE244" s="282"/>
      <c r="CF244" s="282"/>
      <c r="CG244" s="282"/>
      <c r="CH244" s="282"/>
      <c r="CI244" s="282"/>
      <c r="CJ244" s="282"/>
    </row>
    <row r="245" spans="1:88" s="283" customFormat="1" ht="30" x14ac:dyDescent="0.25">
      <c r="A245" s="256">
        <v>41699</v>
      </c>
      <c r="B245" s="256"/>
      <c r="C245" s="228" t="s">
        <v>2080</v>
      </c>
      <c r="D245" s="228" t="s">
        <v>746</v>
      </c>
      <c r="E245" s="277" t="s">
        <v>1992</v>
      </c>
      <c r="F245" s="250" t="s">
        <v>2081</v>
      </c>
      <c r="G245" s="240" t="s">
        <v>769</v>
      </c>
      <c r="H245" s="252">
        <v>64316945586</v>
      </c>
      <c r="I245" s="207"/>
      <c r="J245" s="27"/>
      <c r="K245" s="27"/>
      <c r="L245" s="28"/>
      <c r="M245" s="240"/>
      <c r="N245" s="240"/>
      <c r="O245" s="240"/>
      <c r="P245" s="240"/>
      <c r="Q245" s="240"/>
      <c r="R245" s="240"/>
      <c r="S245" s="240"/>
      <c r="T245" s="240"/>
      <c r="U245" s="275"/>
      <c r="V245" s="275"/>
      <c r="W245" s="27">
        <v>83585</v>
      </c>
      <c r="X245" s="275"/>
      <c r="Y245" s="201"/>
      <c r="Z245" s="275"/>
      <c r="AA245" s="201"/>
      <c r="AB245" s="161"/>
      <c r="AC245" s="166" t="s">
        <v>2082</v>
      </c>
      <c r="AD245" s="27" t="s">
        <v>2083</v>
      </c>
      <c r="AE245" s="161"/>
      <c r="AF245" s="161"/>
      <c r="AG245" s="161"/>
      <c r="AH245" s="27" t="s">
        <v>2084</v>
      </c>
      <c r="AI245" s="161"/>
      <c r="AJ245" s="161"/>
      <c r="AK245" s="27" t="s">
        <v>2085</v>
      </c>
      <c r="AL245" s="161" t="s">
        <v>2086</v>
      </c>
      <c r="AM245" s="161"/>
      <c r="AN245" s="161"/>
      <c r="AO245" s="161"/>
      <c r="AP245" s="161"/>
      <c r="AQ245" s="161" t="s">
        <v>2087</v>
      </c>
      <c r="AR245" s="281">
        <v>62.88</v>
      </c>
      <c r="AS245" s="161"/>
      <c r="AT245" s="161"/>
      <c r="AU245" s="161"/>
      <c r="AV245" s="161"/>
      <c r="AW245" s="161"/>
      <c r="AX245" s="262" t="s">
        <v>2088</v>
      </c>
      <c r="AY245" s="262" t="s">
        <v>2089</v>
      </c>
      <c r="AZ245" s="262"/>
      <c r="BA245" s="262"/>
      <c r="BB245" s="262"/>
      <c r="BC245" s="262"/>
      <c r="BD245" s="262"/>
      <c r="BE245" s="262"/>
      <c r="BF245" s="451" t="s">
        <v>1509</v>
      </c>
      <c r="BG245" s="455"/>
      <c r="BH245" s="455"/>
      <c r="BI245" s="455"/>
      <c r="BJ245" s="455"/>
      <c r="BK245" s="235">
        <v>16.37</v>
      </c>
      <c r="BL245" s="235">
        <v>12.5</v>
      </c>
      <c r="BM245" s="235">
        <v>12.75</v>
      </c>
      <c r="BN245" s="157">
        <f t="shared" si="71"/>
        <v>1.5098198784722223</v>
      </c>
      <c r="BO245" s="235">
        <v>6.58</v>
      </c>
      <c r="BP245" s="365"/>
      <c r="BQ245" s="365"/>
      <c r="BR245" s="161" t="s">
        <v>733</v>
      </c>
      <c r="BS245" s="228">
        <v>6</v>
      </c>
      <c r="BT245" s="228">
        <v>8</v>
      </c>
      <c r="BU245" s="228">
        <v>3</v>
      </c>
      <c r="BV245" s="29">
        <f t="shared" si="72"/>
        <v>144</v>
      </c>
      <c r="BW245" s="29">
        <f t="shared" si="73"/>
        <v>207.92000000000002</v>
      </c>
      <c r="BX245" s="29" t="s">
        <v>743</v>
      </c>
      <c r="BY245" s="29" t="s">
        <v>735</v>
      </c>
      <c r="BZ245" s="15"/>
      <c r="CA245" s="15"/>
      <c r="CB245" s="15"/>
      <c r="CC245" s="282"/>
      <c r="CD245" s="282"/>
      <c r="CE245" s="282"/>
      <c r="CF245" s="282"/>
      <c r="CG245" s="282"/>
      <c r="CH245" s="282"/>
      <c r="CI245" s="282"/>
      <c r="CJ245" s="282"/>
    </row>
    <row r="246" spans="1:88" s="283" customFormat="1" ht="30" x14ac:dyDescent="0.25">
      <c r="A246" s="256">
        <v>41699</v>
      </c>
      <c r="B246" s="256"/>
      <c r="C246" s="228" t="s">
        <v>2090</v>
      </c>
      <c r="D246" s="228" t="s">
        <v>746</v>
      </c>
      <c r="E246" s="277" t="s">
        <v>1865</v>
      </c>
      <c r="F246" s="250" t="s">
        <v>2091</v>
      </c>
      <c r="G246" s="240" t="s">
        <v>777</v>
      </c>
      <c r="H246" s="252" t="s">
        <v>2092</v>
      </c>
      <c r="I246" s="207"/>
      <c r="J246" s="27"/>
      <c r="K246" s="27"/>
      <c r="L246" s="28"/>
      <c r="M246" s="240"/>
      <c r="N246" s="240"/>
      <c r="O246" s="240"/>
      <c r="P246" s="240"/>
      <c r="Q246" s="240"/>
      <c r="R246" s="240"/>
      <c r="S246" s="240"/>
      <c r="T246" s="240"/>
      <c r="U246" s="275"/>
      <c r="V246" s="275"/>
      <c r="W246" s="27"/>
      <c r="X246" s="275"/>
      <c r="Y246" s="201"/>
      <c r="Z246" s="275"/>
      <c r="AA246" s="201"/>
      <c r="AB246" s="250" t="s">
        <v>2093</v>
      </c>
      <c r="AC246" s="161"/>
      <c r="AD246" s="161" t="s">
        <v>2094</v>
      </c>
      <c r="AE246" s="161"/>
      <c r="AF246" s="161"/>
      <c r="AG246" s="161"/>
      <c r="AH246" s="161" t="s">
        <v>2095</v>
      </c>
      <c r="AI246" s="161"/>
      <c r="AJ246" s="161"/>
      <c r="AK246" s="240"/>
      <c r="AL246" s="161" t="s">
        <v>2096</v>
      </c>
      <c r="AM246" s="161"/>
      <c r="AN246" s="161" t="s">
        <v>2097</v>
      </c>
      <c r="AO246" s="161"/>
      <c r="AP246" s="161" t="s">
        <v>2098</v>
      </c>
      <c r="AQ246" s="161"/>
      <c r="AR246" s="281">
        <v>29.02</v>
      </c>
      <c r="AS246" s="161"/>
      <c r="AT246" s="161"/>
      <c r="AU246" s="161"/>
      <c r="AV246" s="161"/>
      <c r="AW246" s="161"/>
      <c r="AX246" s="262" t="s">
        <v>2099</v>
      </c>
      <c r="AY246" s="262" t="s">
        <v>2100</v>
      </c>
      <c r="AZ246" s="262"/>
      <c r="BA246" s="262"/>
      <c r="BB246" s="262"/>
      <c r="BC246" s="262"/>
      <c r="BD246" s="262"/>
      <c r="BE246" s="262"/>
      <c r="BF246" s="235">
        <v>2.9060000000000001</v>
      </c>
      <c r="BG246" s="235">
        <v>2.9060000000000001</v>
      </c>
      <c r="BH246" s="235">
        <v>6.6920000000000002</v>
      </c>
      <c r="BI246" s="157">
        <f>(BH246*BG246*BF246)/1728</f>
        <v>3.2704191268518527E-2</v>
      </c>
      <c r="BJ246" s="235">
        <v>0.6</v>
      </c>
      <c r="BK246" s="235">
        <v>9.3800000000000008</v>
      </c>
      <c r="BL246" s="235">
        <v>6.5</v>
      </c>
      <c r="BM246" s="235">
        <v>7.38</v>
      </c>
      <c r="BN246" s="157">
        <f t="shared" si="71"/>
        <v>0.26039270833333333</v>
      </c>
      <c r="BO246" s="235">
        <f>BJ246*BS246+0.25</f>
        <v>3.8499999999999996</v>
      </c>
      <c r="BP246" s="365"/>
      <c r="BQ246" s="365"/>
      <c r="BR246" s="161" t="s">
        <v>733</v>
      </c>
      <c r="BS246" s="228">
        <v>6</v>
      </c>
      <c r="BT246" s="228">
        <v>30</v>
      </c>
      <c r="BU246" s="228">
        <v>6</v>
      </c>
      <c r="BV246" s="29">
        <f t="shared" si="72"/>
        <v>1080</v>
      </c>
      <c r="BW246" s="29">
        <f t="shared" si="73"/>
        <v>742.99999999999989</v>
      </c>
      <c r="BX246" s="29" t="s">
        <v>955</v>
      </c>
      <c r="BY246" s="29" t="s">
        <v>735</v>
      </c>
      <c r="BZ246" s="15"/>
      <c r="CA246" s="15"/>
      <c r="CB246" s="15"/>
      <c r="CC246" s="282"/>
      <c r="CD246" s="282"/>
      <c r="CE246" s="282"/>
      <c r="CF246" s="282"/>
      <c r="CG246" s="282"/>
      <c r="CH246" s="282"/>
      <c r="CI246" s="282"/>
      <c r="CJ246" s="282"/>
    </row>
    <row r="247" spans="1:88" s="283" customFormat="1" x14ac:dyDescent="0.25">
      <c r="A247" s="256">
        <v>41699</v>
      </c>
      <c r="B247" s="256"/>
      <c r="C247" s="161" t="s">
        <v>2101</v>
      </c>
      <c r="D247" s="228" t="s">
        <v>746</v>
      </c>
      <c r="E247" s="277" t="s">
        <v>1891</v>
      </c>
      <c r="F247" s="252" t="s">
        <v>2102</v>
      </c>
      <c r="G247" s="240" t="s">
        <v>869</v>
      </c>
      <c r="H247" s="161" t="s">
        <v>2103</v>
      </c>
      <c r="I247" s="207"/>
      <c r="J247" s="27"/>
      <c r="K247" s="27"/>
      <c r="L247" s="28"/>
      <c r="M247" s="240"/>
      <c r="N247" s="240"/>
      <c r="O247" s="240"/>
      <c r="P247" s="240"/>
      <c r="Q247" s="240"/>
      <c r="R247" s="240"/>
      <c r="S247" s="240"/>
      <c r="T247" s="240"/>
      <c r="U247" s="275"/>
      <c r="V247" s="275"/>
      <c r="W247" s="27">
        <v>83390</v>
      </c>
      <c r="X247" s="275"/>
      <c r="Y247" s="201"/>
      <c r="Z247" s="275"/>
      <c r="AA247" s="201"/>
      <c r="AB247" s="161" t="s">
        <v>2104</v>
      </c>
      <c r="AC247" s="166" t="s">
        <v>2105</v>
      </c>
      <c r="AD247" s="161"/>
      <c r="AE247" s="161" t="s">
        <v>2106</v>
      </c>
      <c r="AF247" s="161"/>
      <c r="AG247" s="161"/>
      <c r="AH247" s="161"/>
      <c r="AI247" s="161"/>
      <c r="AJ247" s="161"/>
      <c r="AK247" s="240">
        <v>9390</v>
      </c>
      <c r="AL247" s="161" t="s">
        <v>2107</v>
      </c>
      <c r="AM247" s="161"/>
      <c r="AN247" s="161" t="s">
        <v>2108</v>
      </c>
      <c r="AO247" s="161"/>
      <c r="AP247" s="161" t="s">
        <v>2109</v>
      </c>
      <c r="AQ247" s="166" t="s">
        <v>2110</v>
      </c>
      <c r="AR247" s="281">
        <v>28.62</v>
      </c>
      <c r="AS247" s="166"/>
      <c r="AT247" s="166"/>
      <c r="AU247" s="166"/>
      <c r="AV247" s="166"/>
      <c r="AW247" s="166"/>
      <c r="AX247" s="262" t="s">
        <v>2111</v>
      </c>
      <c r="AY247" s="262" t="s">
        <v>2112</v>
      </c>
      <c r="AZ247" s="262"/>
      <c r="BA247" s="262"/>
      <c r="BB247" s="262"/>
      <c r="BC247" s="262"/>
      <c r="BD247" s="262"/>
      <c r="BE247" s="262"/>
      <c r="BF247" s="235">
        <v>7.7859999999999996</v>
      </c>
      <c r="BG247" s="235">
        <v>2.536</v>
      </c>
      <c r="BH247" s="235">
        <v>9.0719999999999992</v>
      </c>
      <c r="BI247" s="157">
        <f>(BH247*BG247*BF247)/1728</f>
        <v>0.10366280399999998</v>
      </c>
      <c r="BJ247" s="153">
        <v>0.46400000000000002</v>
      </c>
      <c r="BK247" s="153">
        <v>9.75</v>
      </c>
      <c r="BL247" s="153">
        <v>8.18</v>
      </c>
      <c r="BM247" s="153">
        <v>8.5</v>
      </c>
      <c r="BN247" s="157">
        <f t="shared" si="71"/>
        <v>0.39231336805555556</v>
      </c>
      <c r="BO247" s="235">
        <f>BJ247*BS247+0.25</f>
        <v>1.6420000000000001</v>
      </c>
      <c r="BP247" s="365"/>
      <c r="BQ247" s="365"/>
      <c r="BR247" s="161" t="s">
        <v>733</v>
      </c>
      <c r="BS247" s="228">
        <v>3</v>
      </c>
      <c r="BT247" s="228">
        <v>20</v>
      </c>
      <c r="BU247" s="228">
        <v>5</v>
      </c>
      <c r="BV247" s="29">
        <f t="shared" si="72"/>
        <v>300</v>
      </c>
      <c r="BW247" s="29">
        <f t="shared" si="73"/>
        <v>214.20000000000002</v>
      </c>
      <c r="BX247" s="29" t="s">
        <v>743</v>
      </c>
      <c r="BY247" s="29" t="s">
        <v>735</v>
      </c>
      <c r="BZ247" s="15"/>
      <c r="CA247" s="15"/>
      <c r="CB247" s="15"/>
      <c r="CC247" s="282"/>
      <c r="CD247" s="282"/>
      <c r="CE247" s="282"/>
      <c r="CF247" s="282"/>
      <c r="CG247" s="282"/>
      <c r="CH247" s="282"/>
      <c r="CI247" s="282"/>
      <c r="CJ247" s="282"/>
    </row>
    <row r="248" spans="1:88" s="283" customFormat="1" x14ac:dyDescent="0.25">
      <c r="A248" s="256">
        <v>41699</v>
      </c>
      <c r="B248" s="256"/>
      <c r="C248" s="161" t="s">
        <v>2113</v>
      </c>
      <c r="D248" s="228" t="s">
        <v>746</v>
      </c>
      <c r="E248" s="277" t="s">
        <v>1891</v>
      </c>
      <c r="F248" s="250" t="s">
        <v>2114</v>
      </c>
      <c r="G248" s="240" t="s">
        <v>748</v>
      </c>
      <c r="H248" s="228">
        <v>15909459</v>
      </c>
      <c r="I248" s="240" t="s">
        <v>748</v>
      </c>
      <c r="J248" s="228">
        <v>20774655</v>
      </c>
      <c r="K248" s="207" t="s">
        <v>749</v>
      </c>
      <c r="L248" s="27" t="s">
        <v>2115</v>
      </c>
      <c r="M248" s="240"/>
      <c r="N248" s="240"/>
      <c r="O248" s="240"/>
      <c r="P248" s="240"/>
      <c r="Q248" s="240"/>
      <c r="R248" s="240"/>
      <c r="S248" s="240"/>
      <c r="T248" s="240"/>
      <c r="U248" s="275"/>
      <c r="V248" s="275"/>
      <c r="W248" s="27">
        <v>83459</v>
      </c>
      <c r="X248" s="275"/>
      <c r="Y248" s="201"/>
      <c r="Z248" s="275"/>
      <c r="AA248" s="201"/>
      <c r="AB248" s="228" t="s">
        <v>2116</v>
      </c>
      <c r="AC248" s="228" t="s">
        <v>2117</v>
      </c>
      <c r="AD248" s="228"/>
      <c r="AE248" s="228"/>
      <c r="AF248" s="228"/>
      <c r="AG248" s="228"/>
      <c r="AH248" s="228"/>
      <c r="AI248" s="228"/>
      <c r="AJ248" s="228"/>
      <c r="AK248" s="240">
        <v>9459</v>
      </c>
      <c r="AL248" s="228" t="s">
        <v>2118</v>
      </c>
      <c r="AM248" s="228" t="s">
        <v>2119</v>
      </c>
      <c r="AN248" s="228" t="s">
        <v>2120</v>
      </c>
      <c r="AO248" s="228"/>
      <c r="AP248" s="228" t="s">
        <v>2121</v>
      </c>
      <c r="AQ248" s="228">
        <v>49459</v>
      </c>
      <c r="AR248" s="281">
        <v>45.55</v>
      </c>
      <c r="AS248" s="228"/>
      <c r="AT248" s="228"/>
      <c r="AU248" s="228"/>
      <c r="AV248" s="228"/>
      <c r="AW248" s="228"/>
      <c r="AX248" s="262" t="s">
        <v>2122</v>
      </c>
      <c r="AY248" s="262" t="s">
        <v>2123</v>
      </c>
      <c r="AZ248" s="262"/>
      <c r="BA248" s="262"/>
      <c r="BB248" s="262"/>
      <c r="BC248" s="262"/>
      <c r="BD248" s="262"/>
      <c r="BE248" s="262"/>
      <c r="BF248" s="235">
        <v>4.6559999999999997</v>
      </c>
      <c r="BG248" s="235">
        <v>4.6559999999999997</v>
      </c>
      <c r="BH248" s="235">
        <v>8.8219999999999992</v>
      </c>
      <c r="BI248" s="157">
        <f>(BH248*BG248*BF248)/1728</f>
        <v>0.11067493066666663</v>
      </c>
      <c r="BJ248" s="153">
        <v>1.6</v>
      </c>
      <c r="BK248" s="153">
        <v>15.305999999999999</v>
      </c>
      <c r="BL248" s="153">
        <v>9.3059999999999992</v>
      </c>
      <c r="BM248" s="153">
        <v>5.7320000000000002</v>
      </c>
      <c r="BN248" s="157">
        <f t="shared" si="71"/>
        <v>0.47248410274999991</v>
      </c>
      <c r="BO248" s="153">
        <f>BJ248*BS248+0.25</f>
        <v>5.0500000000000007</v>
      </c>
      <c r="BP248" s="360"/>
      <c r="BQ248" s="360"/>
      <c r="BR248" s="161" t="s">
        <v>733</v>
      </c>
      <c r="BS248" s="228">
        <v>3</v>
      </c>
      <c r="BT248" s="228">
        <v>13</v>
      </c>
      <c r="BU248" s="228">
        <v>8</v>
      </c>
      <c r="BV248" s="29">
        <f t="shared" si="72"/>
        <v>312</v>
      </c>
      <c r="BW248" s="29">
        <f t="shared" si="73"/>
        <v>575.20000000000005</v>
      </c>
      <c r="BX248" s="29" t="s">
        <v>890</v>
      </c>
      <c r="BY248" s="29" t="s">
        <v>735</v>
      </c>
      <c r="BZ248" s="15"/>
      <c r="CA248" s="15"/>
      <c r="CB248" s="15"/>
      <c r="CC248" s="282"/>
      <c r="CD248" s="282"/>
      <c r="CE248" s="282"/>
      <c r="CF248" s="282"/>
      <c r="CG248" s="282"/>
      <c r="CH248" s="282"/>
      <c r="CI248" s="282"/>
      <c r="CJ248" s="282"/>
    </row>
    <row r="249" spans="1:88" s="283" customFormat="1" ht="30" x14ac:dyDescent="0.25">
      <c r="A249" s="256">
        <v>41699</v>
      </c>
      <c r="B249" s="256"/>
      <c r="C249" s="161" t="s">
        <v>2124</v>
      </c>
      <c r="D249" s="228" t="s">
        <v>60</v>
      </c>
      <c r="E249" s="277" t="s">
        <v>1891</v>
      </c>
      <c r="F249" s="252" t="s">
        <v>2125</v>
      </c>
      <c r="G249" s="228" t="s">
        <v>722</v>
      </c>
      <c r="H249" s="228" t="s">
        <v>2126</v>
      </c>
      <c r="I249" s="207" t="s">
        <v>2127</v>
      </c>
      <c r="J249" s="27" t="s">
        <v>2128</v>
      </c>
      <c r="K249" s="27" t="s">
        <v>49</v>
      </c>
      <c r="L249" s="28" t="s">
        <v>2129</v>
      </c>
      <c r="M249" s="240"/>
      <c r="N249" s="240"/>
      <c r="O249" s="240"/>
      <c r="P249" s="240"/>
      <c r="Q249" s="240"/>
      <c r="R249" s="240"/>
      <c r="S249" s="240"/>
      <c r="T249" s="240"/>
      <c r="U249" s="275"/>
      <c r="V249" s="275"/>
      <c r="W249" s="27"/>
      <c r="X249" s="275"/>
      <c r="Y249" s="201"/>
      <c r="Z249" s="275"/>
      <c r="AA249" s="201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40"/>
      <c r="AL249" s="228"/>
      <c r="AM249" s="228"/>
      <c r="AN249" s="228" t="s">
        <v>2130</v>
      </c>
      <c r="AO249" s="228"/>
      <c r="AP249" s="228" t="s">
        <v>2130</v>
      </c>
      <c r="AQ249" s="228"/>
      <c r="AR249" s="281">
        <v>22.47</v>
      </c>
      <c r="AS249" s="228"/>
      <c r="AT249" s="228"/>
      <c r="AU249" s="228"/>
      <c r="AV249" s="228"/>
      <c r="AW249" s="228"/>
      <c r="AX249" s="262" t="s">
        <v>2131</v>
      </c>
      <c r="AY249" s="262" t="s">
        <v>2132</v>
      </c>
      <c r="AZ249" s="262"/>
      <c r="BA249" s="262"/>
      <c r="BB249" s="262"/>
      <c r="BC249" s="262"/>
      <c r="BD249" s="262"/>
      <c r="BE249" s="262"/>
      <c r="BF249" s="235">
        <v>6.7859999999999996</v>
      </c>
      <c r="BG249" s="235">
        <v>4.9059999999999997</v>
      </c>
      <c r="BH249" s="235">
        <v>8.5719999999999992</v>
      </c>
      <c r="BI249" s="157">
        <f>(BH249*BG249*BF249)/1728</f>
        <v>0.16515047358333329</v>
      </c>
      <c r="BJ249" s="153">
        <v>0.2</v>
      </c>
      <c r="BK249" s="153">
        <v>15.38</v>
      </c>
      <c r="BL249" s="153">
        <v>7.25</v>
      </c>
      <c r="BM249" s="153">
        <v>9.1199999999999992</v>
      </c>
      <c r="BN249" s="157">
        <f t="shared" si="71"/>
        <v>0.58849861111111101</v>
      </c>
      <c r="BO249" s="153">
        <f>BJ249*BS249+0.25</f>
        <v>0.85000000000000009</v>
      </c>
      <c r="BP249" s="360"/>
      <c r="BQ249" s="360"/>
      <c r="BR249" s="161" t="s">
        <v>733</v>
      </c>
      <c r="BS249" s="228">
        <v>3</v>
      </c>
      <c r="BT249" s="228">
        <v>15</v>
      </c>
      <c r="BU249" s="228">
        <v>4</v>
      </c>
      <c r="BV249" s="29">
        <f t="shared" si="72"/>
        <v>180</v>
      </c>
      <c r="BW249" s="29">
        <f t="shared" si="73"/>
        <v>101</v>
      </c>
      <c r="BX249" s="29" t="s">
        <v>890</v>
      </c>
      <c r="BY249" s="29" t="s">
        <v>735</v>
      </c>
      <c r="BZ249" s="15"/>
      <c r="CA249" s="15"/>
      <c r="CB249" s="15"/>
      <c r="CC249" s="282"/>
      <c r="CD249" s="282"/>
      <c r="CE249" s="282"/>
      <c r="CF249" s="282"/>
      <c r="CG249" s="282"/>
      <c r="CH249" s="282"/>
      <c r="CI249" s="282"/>
      <c r="CJ249" s="282"/>
    </row>
    <row r="250" spans="1:88" s="283" customFormat="1" ht="30" x14ac:dyDescent="0.25">
      <c r="A250" s="256">
        <v>41699</v>
      </c>
      <c r="B250" s="256"/>
      <c r="C250" s="161" t="s">
        <v>2133</v>
      </c>
      <c r="D250" s="228" t="s">
        <v>746</v>
      </c>
      <c r="E250" s="277" t="s">
        <v>1992</v>
      </c>
      <c r="F250" s="271" t="s">
        <v>2134</v>
      </c>
      <c r="G250" s="241" t="s">
        <v>967</v>
      </c>
      <c r="H250" s="32" t="s">
        <v>2135</v>
      </c>
      <c r="I250" s="241" t="s">
        <v>967</v>
      </c>
      <c r="J250" s="27" t="s">
        <v>2136</v>
      </c>
      <c r="K250" s="27"/>
      <c r="L250" s="28"/>
      <c r="M250" s="240"/>
      <c r="N250" s="240"/>
      <c r="O250" s="240"/>
      <c r="P250" s="240"/>
      <c r="Q250" s="240"/>
      <c r="R250" s="240"/>
      <c r="S250" s="240"/>
      <c r="T250" s="240"/>
      <c r="U250" s="275"/>
      <c r="V250" s="275"/>
      <c r="W250" s="27">
        <v>83093</v>
      </c>
      <c r="X250" s="275"/>
      <c r="Y250" s="201"/>
      <c r="Z250" s="275"/>
      <c r="AA250" s="201"/>
      <c r="AB250" s="161" t="s">
        <v>2137</v>
      </c>
      <c r="AC250" s="166" t="s">
        <v>2138</v>
      </c>
      <c r="AD250" s="161"/>
      <c r="AE250" s="161"/>
      <c r="AF250" s="161"/>
      <c r="AG250" s="161"/>
      <c r="AH250" s="161" t="s">
        <v>2139</v>
      </c>
      <c r="AI250" s="161"/>
      <c r="AJ250" s="161"/>
      <c r="AK250" s="240">
        <v>9093</v>
      </c>
      <c r="AL250" s="161" t="s">
        <v>2140</v>
      </c>
      <c r="AM250" s="161" t="s">
        <v>2133</v>
      </c>
      <c r="AN250" s="161" t="s">
        <v>2140</v>
      </c>
      <c r="AO250" s="161"/>
      <c r="AP250" s="161" t="s">
        <v>2141</v>
      </c>
      <c r="AQ250" s="161" t="s">
        <v>2142</v>
      </c>
      <c r="AR250" s="281">
        <v>22.81</v>
      </c>
      <c r="AS250" s="161"/>
      <c r="AT250" s="161"/>
      <c r="AU250" s="161"/>
      <c r="AV250" s="161"/>
      <c r="AW250" s="161"/>
      <c r="AX250" s="262" t="s">
        <v>2143</v>
      </c>
      <c r="AY250" s="262" t="s">
        <v>2144</v>
      </c>
      <c r="AZ250" s="262"/>
      <c r="BA250" s="262"/>
      <c r="BB250" s="262"/>
      <c r="BC250" s="262"/>
      <c r="BD250" s="262"/>
      <c r="BE250" s="262"/>
      <c r="BF250" s="451" t="s">
        <v>1509</v>
      </c>
      <c r="BG250" s="455"/>
      <c r="BH250" s="455"/>
      <c r="BI250" s="455"/>
      <c r="BJ250" s="455"/>
      <c r="BK250" s="153">
        <v>4.12</v>
      </c>
      <c r="BL250" s="153">
        <v>6.25</v>
      </c>
      <c r="BM250" s="153">
        <v>9.25</v>
      </c>
      <c r="BN250" s="157">
        <f t="shared" si="71"/>
        <v>0.13783998842592593</v>
      </c>
      <c r="BO250" s="153">
        <v>1.6300000000000001</v>
      </c>
      <c r="BP250" s="360"/>
      <c r="BQ250" s="360"/>
      <c r="BR250" s="161" t="s">
        <v>733</v>
      </c>
      <c r="BS250" s="228">
        <v>6</v>
      </c>
      <c r="BT250" s="228">
        <v>30</v>
      </c>
      <c r="BU250" s="228">
        <v>10</v>
      </c>
      <c r="BV250" s="29">
        <f t="shared" si="72"/>
        <v>1800</v>
      </c>
      <c r="BW250" s="29">
        <f t="shared" si="73"/>
        <v>539</v>
      </c>
      <c r="BX250" s="29" t="s">
        <v>743</v>
      </c>
      <c r="BY250" s="29" t="s">
        <v>735</v>
      </c>
      <c r="BZ250" s="15"/>
      <c r="CA250" s="15"/>
      <c r="CB250" s="15"/>
      <c r="CC250" s="282"/>
      <c r="CD250" s="282"/>
      <c r="CE250" s="282"/>
      <c r="CF250" s="282"/>
      <c r="CG250" s="282"/>
      <c r="CH250" s="282"/>
      <c r="CI250" s="282"/>
      <c r="CJ250" s="282"/>
    </row>
    <row r="251" spans="1:88" s="283" customFormat="1" ht="30" customHeight="1" x14ac:dyDescent="0.25">
      <c r="A251" s="256">
        <v>41685</v>
      </c>
      <c r="B251" s="256"/>
      <c r="C251" s="161" t="s">
        <v>2145</v>
      </c>
      <c r="D251" s="161" t="s">
        <v>60</v>
      </c>
      <c r="E251" s="161" t="s">
        <v>2146</v>
      </c>
      <c r="F251" s="284" t="s">
        <v>2147</v>
      </c>
      <c r="G251" s="223" t="s">
        <v>984</v>
      </c>
      <c r="H251" s="223" t="s">
        <v>2148</v>
      </c>
      <c r="I251" s="27" t="s">
        <v>2149</v>
      </c>
      <c r="J251" s="27" t="s">
        <v>2150</v>
      </c>
      <c r="K251" s="27"/>
      <c r="L251" s="28"/>
      <c r="M251" s="253"/>
      <c r="N251" s="253"/>
      <c r="O251" s="240"/>
      <c r="P251" s="240"/>
      <c r="Q251" s="240"/>
      <c r="R251" s="240"/>
      <c r="S251" s="240"/>
      <c r="T251" s="240"/>
      <c r="U251" s="275" t="s">
        <v>2151</v>
      </c>
      <c r="V251" s="275"/>
      <c r="W251" s="27">
        <v>83203</v>
      </c>
      <c r="X251" s="275"/>
      <c r="Y251" s="201" t="s">
        <v>2152</v>
      </c>
      <c r="Z251" s="275"/>
      <c r="AA251" s="201" t="s">
        <v>2153</v>
      </c>
      <c r="AB251" s="201"/>
      <c r="AC251" s="275"/>
      <c r="AD251" s="275"/>
      <c r="AE251" s="275"/>
      <c r="AF251" s="275"/>
      <c r="AG251" s="275"/>
      <c r="AH251" s="240"/>
      <c r="AI251" s="275"/>
      <c r="AJ251" s="275"/>
      <c r="AK251" s="275">
        <v>9203</v>
      </c>
      <c r="AL251" s="275"/>
      <c r="AM251" s="275"/>
      <c r="AN251" s="275"/>
      <c r="AO251" s="275"/>
      <c r="AP251" s="275"/>
      <c r="AQ251" s="275" t="s">
        <v>2154</v>
      </c>
      <c r="AR251" s="280">
        <v>68.23</v>
      </c>
      <c r="AS251" s="275"/>
      <c r="AT251" s="275"/>
      <c r="AU251" s="275"/>
      <c r="AV251" s="275"/>
      <c r="AW251" s="275"/>
      <c r="AX251" s="262" t="s">
        <v>2155</v>
      </c>
      <c r="AY251" s="262" t="s">
        <v>2156</v>
      </c>
      <c r="AZ251" s="262"/>
      <c r="BA251" s="262"/>
      <c r="BB251" s="262"/>
      <c r="BC251" s="262"/>
      <c r="BD251" s="262"/>
      <c r="BE251" s="262"/>
      <c r="BF251" s="452" t="s">
        <v>989</v>
      </c>
      <c r="BG251" s="452"/>
      <c r="BH251" s="452"/>
      <c r="BI251" s="452"/>
      <c r="BJ251" s="452"/>
      <c r="BK251" s="153">
        <v>12.680999999999999</v>
      </c>
      <c r="BL251" s="153">
        <v>12.680999999999999</v>
      </c>
      <c r="BM251" s="153">
        <v>14.362</v>
      </c>
      <c r="BN251" s="157">
        <f t="shared" si="71"/>
        <v>1.3365283932187497</v>
      </c>
      <c r="BO251" s="153">
        <f>0.75+0.4</f>
        <v>1.1499999999999999</v>
      </c>
      <c r="BP251" s="360"/>
      <c r="BQ251" s="360"/>
      <c r="BR251" s="161" t="s">
        <v>733</v>
      </c>
      <c r="BS251" s="161">
        <v>1</v>
      </c>
      <c r="BT251" s="161">
        <v>9</v>
      </c>
      <c r="BU251" s="161">
        <v>3</v>
      </c>
      <c r="BV251" s="29">
        <f t="shared" si="72"/>
        <v>27</v>
      </c>
      <c r="BW251" s="29">
        <f t="shared" si="73"/>
        <v>81.05</v>
      </c>
      <c r="BX251" s="29" t="s">
        <v>890</v>
      </c>
      <c r="BY251" s="29" t="s">
        <v>735</v>
      </c>
      <c r="BZ251" s="15"/>
      <c r="CA251" s="15"/>
      <c r="CB251" s="15"/>
      <c r="CC251" s="282"/>
      <c r="CD251" s="282"/>
      <c r="CE251" s="282"/>
      <c r="CF251" s="282"/>
      <c r="CG251" s="282"/>
      <c r="CH251" s="282"/>
      <c r="CI251" s="282"/>
      <c r="CJ251" s="282"/>
    </row>
    <row r="252" spans="1:88" s="283" customFormat="1" x14ac:dyDescent="0.25">
      <c r="A252" s="256">
        <v>41685</v>
      </c>
      <c r="B252" s="256"/>
      <c r="C252" s="161" t="s">
        <v>2157</v>
      </c>
      <c r="D252" s="161" t="s">
        <v>60</v>
      </c>
      <c r="E252" s="161" t="s">
        <v>2158</v>
      </c>
      <c r="F252" s="284" t="s">
        <v>2159</v>
      </c>
      <c r="G252" s="240" t="s">
        <v>50</v>
      </c>
      <c r="H252" s="238" t="s">
        <v>2160</v>
      </c>
      <c r="I252" s="27" t="s">
        <v>2161</v>
      </c>
      <c r="J252" s="27" t="s">
        <v>2162</v>
      </c>
      <c r="K252" s="27" t="s">
        <v>1355</v>
      </c>
      <c r="L252" s="28">
        <v>11988962</v>
      </c>
      <c r="M252" s="27" t="s">
        <v>1355</v>
      </c>
      <c r="N252" s="28">
        <v>11708554</v>
      </c>
      <c r="O252" s="240"/>
      <c r="P252" s="240"/>
      <c r="Q252" s="240"/>
      <c r="R252" s="240"/>
      <c r="S252" s="240"/>
      <c r="T252" s="240"/>
      <c r="U252" s="275" t="s">
        <v>2163</v>
      </c>
      <c r="V252" s="275"/>
      <c r="W252" s="27">
        <v>86716</v>
      </c>
      <c r="X252" s="275"/>
      <c r="Y252" s="201" t="s">
        <v>2164</v>
      </c>
      <c r="Z252" s="275"/>
      <c r="AA252" s="201" t="s">
        <v>2165</v>
      </c>
      <c r="AB252" s="201"/>
      <c r="AC252" s="275"/>
      <c r="AD252" s="275" t="s">
        <v>2160</v>
      </c>
      <c r="AE252" s="275"/>
      <c r="AF252" s="275"/>
      <c r="AG252" s="275"/>
      <c r="AH252" s="275" t="s">
        <v>2162</v>
      </c>
      <c r="AI252" s="275"/>
      <c r="AJ252" s="275"/>
      <c r="AK252" s="275">
        <v>3716</v>
      </c>
      <c r="AL252" s="275"/>
      <c r="AM252" s="275"/>
      <c r="AN252" s="275"/>
      <c r="AO252" s="275"/>
      <c r="AP252" s="275"/>
      <c r="AQ252" s="275" t="s">
        <v>2166</v>
      </c>
      <c r="AR252" s="280">
        <v>22.76</v>
      </c>
      <c r="AS252" s="191">
        <v>0.5</v>
      </c>
      <c r="AT252" s="191">
        <v>0.55000000000000004</v>
      </c>
      <c r="AU252" s="191">
        <v>0.4</v>
      </c>
      <c r="AV252" s="275"/>
      <c r="AW252" s="275"/>
      <c r="AX252" s="262" t="s">
        <v>2167</v>
      </c>
      <c r="AY252" s="262" t="s">
        <v>2168</v>
      </c>
      <c r="AZ252" s="262"/>
      <c r="BA252" s="262"/>
      <c r="BB252" s="262"/>
      <c r="BC252" s="262"/>
      <c r="BD252" s="262"/>
      <c r="BE252" s="262"/>
      <c r="BF252" s="153">
        <v>3.1859999999999999</v>
      </c>
      <c r="BG252" s="153">
        <v>3.1859999999999999</v>
      </c>
      <c r="BH252" s="153">
        <v>3.6920000000000002</v>
      </c>
      <c r="BI252" s="157">
        <f>(BH252*BG252*BF252)/1728</f>
        <v>2.1687500249999998E-2</v>
      </c>
      <c r="BJ252" s="153">
        <v>0.375</v>
      </c>
      <c r="BK252" s="153">
        <v>10</v>
      </c>
      <c r="BL252" s="153">
        <v>6.75</v>
      </c>
      <c r="BM252" s="153">
        <v>4.37</v>
      </c>
      <c r="BN252" s="157">
        <f t="shared" si="71"/>
        <v>0.17070312500000001</v>
      </c>
      <c r="BO252" s="153">
        <v>2.6669999999999998</v>
      </c>
      <c r="BP252" s="360"/>
      <c r="BQ252" s="360"/>
      <c r="BR252" s="161" t="s">
        <v>733</v>
      </c>
      <c r="BS252" s="161">
        <v>6</v>
      </c>
      <c r="BT252" s="161">
        <v>26</v>
      </c>
      <c r="BU252" s="161">
        <v>9</v>
      </c>
      <c r="BV252" s="29">
        <f t="shared" si="72"/>
        <v>1404</v>
      </c>
      <c r="BW252" s="29">
        <f t="shared" si="73"/>
        <v>674.07799999999997</v>
      </c>
      <c r="BX252" s="29" t="s">
        <v>1160</v>
      </c>
      <c r="BY252" s="29" t="s">
        <v>735</v>
      </c>
      <c r="BZ252" s="15"/>
      <c r="CA252" s="15"/>
      <c r="CB252" s="15"/>
      <c r="CC252" s="282"/>
      <c r="CD252" s="282"/>
      <c r="CE252" s="282"/>
      <c r="CF252" s="282"/>
      <c r="CG252" s="282"/>
      <c r="CH252" s="282"/>
      <c r="CI252" s="282"/>
      <c r="CJ252" s="282"/>
    </row>
    <row r="253" spans="1:88" s="283" customFormat="1" ht="30" x14ac:dyDescent="0.25">
      <c r="A253" s="256">
        <v>41685</v>
      </c>
      <c r="B253" s="256"/>
      <c r="C253" s="161" t="s">
        <v>2169</v>
      </c>
      <c r="D253" s="161" t="s">
        <v>60</v>
      </c>
      <c r="E253" s="161" t="s">
        <v>2170</v>
      </c>
      <c r="F253" s="284" t="s">
        <v>2171</v>
      </c>
      <c r="G253" s="284" t="s">
        <v>1148</v>
      </c>
      <c r="H253" s="27" t="s">
        <v>2172</v>
      </c>
      <c r="I253" s="207"/>
      <c r="J253" s="27"/>
      <c r="K253" s="27"/>
      <c r="L253" s="28"/>
      <c r="M253" s="253"/>
      <c r="N253" s="253"/>
      <c r="O253" s="240"/>
      <c r="P253" s="240"/>
      <c r="Q253" s="240"/>
      <c r="R253" s="240"/>
      <c r="S253" s="240"/>
      <c r="T253" s="240"/>
      <c r="U253" s="275" t="s">
        <v>2173</v>
      </c>
      <c r="V253" s="275"/>
      <c r="W253" s="27">
        <v>84467</v>
      </c>
      <c r="X253" s="275"/>
      <c r="Y253" s="201" t="s">
        <v>2174</v>
      </c>
      <c r="Z253" s="275"/>
      <c r="AA253" s="201" t="s">
        <v>2175</v>
      </c>
      <c r="AB253" s="201"/>
      <c r="AC253" s="275"/>
      <c r="AD253" s="275"/>
      <c r="AE253" s="275"/>
      <c r="AF253" s="275"/>
      <c r="AG253" s="275"/>
      <c r="AH253" s="275"/>
      <c r="AI253" s="275"/>
      <c r="AJ253" s="275"/>
      <c r="AK253" s="275">
        <v>7467</v>
      </c>
      <c r="AL253" s="275"/>
      <c r="AM253" s="275"/>
      <c r="AN253" s="275"/>
      <c r="AO253" s="275"/>
      <c r="AP253" s="275"/>
      <c r="AQ253" s="275" t="s">
        <v>2176</v>
      </c>
      <c r="AR253" s="280">
        <v>36.4</v>
      </c>
      <c r="AS253" s="159">
        <v>0.5</v>
      </c>
      <c r="AT253" s="191">
        <v>0.55000000000000004</v>
      </c>
      <c r="AU253" s="192">
        <v>0.4</v>
      </c>
      <c r="AV253" s="275"/>
      <c r="AW253" s="275"/>
      <c r="AX253" s="262" t="s">
        <v>2177</v>
      </c>
      <c r="AY253" s="262" t="s">
        <v>2178</v>
      </c>
      <c r="AZ253" s="262"/>
      <c r="BA253" s="262"/>
      <c r="BB253" s="262"/>
      <c r="BC253" s="262"/>
      <c r="BD253" s="262"/>
      <c r="BE253" s="262"/>
      <c r="BF253" s="153">
        <v>4.9225000000000003</v>
      </c>
      <c r="BG253" s="153">
        <v>4.9225000000000003</v>
      </c>
      <c r="BH253" s="153">
        <v>6.6574999999999998</v>
      </c>
      <c r="BI253" s="157">
        <f>(BH253*BG253*BF253)/1728</f>
        <v>9.3355280155888315E-2</v>
      </c>
      <c r="BJ253" s="153">
        <v>0.95</v>
      </c>
      <c r="BK253" s="153">
        <v>19.181000000000001</v>
      </c>
      <c r="BL253" s="153">
        <v>14.430999999999999</v>
      </c>
      <c r="BM253" s="153">
        <v>6.6745000000000001</v>
      </c>
      <c r="BN253" s="157">
        <f t="shared" si="71"/>
        <v>1.0691599235645255</v>
      </c>
      <c r="BO253" s="153">
        <f>BJ253*BS253+0.4</f>
        <v>11.799999999999999</v>
      </c>
      <c r="BP253" s="360"/>
      <c r="BQ253" s="360"/>
      <c r="BR253" s="161" t="s">
        <v>733</v>
      </c>
      <c r="BS253" s="161">
        <v>12</v>
      </c>
      <c r="BT253" s="161">
        <v>6</v>
      </c>
      <c r="BU253" s="161">
        <v>6</v>
      </c>
      <c r="BV253" s="29">
        <f t="shared" si="72"/>
        <v>432</v>
      </c>
      <c r="BW253" s="29">
        <f t="shared" si="73"/>
        <v>474.79999999999995</v>
      </c>
      <c r="BX253" s="29" t="s">
        <v>890</v>
      </c>
      <c r="BY253" s="29" t="s">
        <v>735</v>
      </c>
      <c r="BZ253" s="15"/>
      <c r="CA253" s="15"/>
      <c r="CB253" s="15"/>
      <c r="CC253" s="282"/>
      <c r="CD253" s="282"/>
      <c r="CE253" s="282"/>
      <c r="CF253" s="282"/>
      <c r="CG253" s="282"/>
      <c r="CH253" s="282"/>
      <c r="CI253" s="282"/>
      <c r="CJ253" s="282"/>
    </row>
    <row r="254" spans="1:88" s="283" customFormat="1" ht="15" customHeight="1" x14ac:dyDescent="0.25">
      <c r="A254" s="256">
        <v>41685</v>
      </c>
      <c r="B254" s="256"/>
      <c r="C254" s="228" t="s">
        <v>2179</v>
      </c>
      <c r="D254" s="228" t="s">
        <v>60</v>
      </c>
      <c r="E254" s="161" t="s">
        <v>2146</v>
      </c>
      <c r="F254" s="284" t="s">
        <v>2180</v>
      </c>
      <c r="G254" s="223" t="s">
        <v>802</v>
      </c>
      <c r="H254" s="27" t="s">
        <v>2181</v>
      </c>
      <c r="I254" s="207"/>
      <c r="J254" s="27"/>
      <c r="K254" s="27"/>
      <c r="L254" s="28"/>
      <c r="M254" s="253"/>
      <c r="N254" s="253"/>
      <c r="O254" s="240"/>
      <c r="P254" s="240"/>
      <c r="Q254" s="240"/>
      <c r="R254" s="240"/>
      <c r="S254" s="240"/>
      <c r="T254" s="240"/>
      <c r="U254" s="275"/>
      <c r="V254" s="275"/>
      <c r="W254" s="27"/>
      <c r="X254" s="275"/>
      <c r="Y254" s="201" t="s">
        <v>2182</v>
      </c>
      <c r="Z254" s="275"/>
      <c r="AA254" s="201"/>
      <c r="AB254" s="201"/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80">
        <v>42.98</v>
      </c>
      <c r="AS254" s="191"/>
      <c r="AT254" s="191"/>
      <c r="AU254" s="191"/>
      <c r="AV254" s="275"/>
      <c r="AW254" s="275"/>
      <c r="AX254" s="262" t="s">
        <v>2183</v>
      </c>
      <c r="AY254" s="262" t="s">
        <v>2184</v>
      </c>
      <c r="AZ254" s="262"/>
      <c r="BA254" s="262"/>
      <c r="BB254" s="262"/>
      <c r="BC254" s="262"/>
      <c r="BD254" s="262"/>
      <c r="BE254" s="262"/>
      <c r="BF254" s="452" t="s">
        <v>989</v>
      </c>
      <c r="BG254" s="452"/>
      <c r="BH254" s="452"/>
      <c r="BI254" s="452"/>
      <c r="BJ254" s="452"/>
      <c r="BK254" s="228">
        <v>13.185</v>
      </c>
      <c r="BL254" s="228">
        <v>9.8049999999999997</v>
      </c>
      <c r="BM254" s="228">
        <v>10.18</v>
      </c>
      <c r="BN254" s="157">
        <f t="shared" si="71"/>
        <v>0.76160848177083329</v>
      </c>
      <c r="BO254" s="228">
        <f>2.89+0.4</f>
        <v>3.29</v>
      </c>
      <c r="BP254" s="366"/>
      <c r="BQ254" s="366"/>
      <c r="BR254" s="161" t="s">
        <v>733</v>
      </c>
      <c r="BS254" s="228">
        <v>1</v>
      </c>
      <c r="BT254" s="228">
        <v>16</v>
      </c>
      <c r="BU254" s="228">
        <v>3</v>
      </c>
      <c r="BV254" s="29">
        <f t="shared" si="72"/>
        <v>48</v>
      </c>
      <c r="BW254" s="29">
        <f t="shared" si="73"/>
        <v>207.92000000000002</v>
      </c>
      <c r="BX254" s="29" t="s">
        <v>890</v>
      </c>
      <c r="BY254" s="29" t="s">
        <v>735</v>
      </c>
      <c r="BZ254" s="15"/>
      <c r="CA254" s="15"/>
      <c r="CB254" s="15"/>
      <c r="CC254" s="282"/>
      <c r="CD254" s="282"/>
      <c r="CE254" s="282"/>
      <c r="CF254" s="282"/>
      <c r="CG254" s="282"/>
      <c r="CH254" s="282"/>
      <c r="CI254" s="282"/>
      <c r="CJ254" s="282"/>
    </row>
    <row r="255" spans="1:88" s="283" customFormat="1" x14ac:dyDescent="0.25">
      <c r="A255" s="256">
        <v>41685</v>
      </c>
      <c r="B255" s="256"/>
      <c r="C255" s="228" t="s">
        <v>2185</v>
      </c>
      <c r="D255" s="161" t="s">
        <v>60</v>
      </c>
      <c r="E255" s="161" t="s">
        <v>2186</v>
      </c>
      <c r="F255" s="284" t="s">
        <v>2187</v>
      </c>
      <c r="G255" s="223" t="s">
        <v>2188</v>
      </c>
      <c r="H255" s="27">
        <v>3107499</v>
      </c>
      <c r="I255" s="207"/>
      <c r="J255" s="27"/>
      <c r="K255" s="27"/>
      <c r="L255" s="28"/>
      <c r="M255" s="253"/>
      <c r="N255" s="253"/>
      <c r="O255" s="240"/>
      <c r="P255" s="240"/>
      <c r="Q255" s="240"/>
      <c r="R255" s="240"/>
      <c r="S255" s="240"/>
      <c r="T255" s="240"/>
      <c r="U255" s="275" t="s">
        <v>2189</v>
      </c>
      <c r="V255" s="275"/>
      <c r="W255" s="27"/>
      <c r="X255" s="275"/>
      <c r="Y255" s="201"/>
      <c r="Z255" s="275"/>
      <c r="AA255" s="201" t="s">
        <v>2190</v>
      </c>
      <c r="AB255" s="201" t="s">
        <v>2191</v>
      </c>
      <c r="AC255" s="275" t="s">
        <v>2192</v>
      </c>
      <c r="AD255" s="275"/>
      <c r="AE255" s="275"/>
      <c r="AF255" s="275"/>
      <c r="AG255" s="275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80">
        <v>11.62</v>
      </c>
      <c r="AS255" s="191"/>
      <c r="AT255" s="191"/>
      <c r="AU255" s="191"/>
      <c r="AV255" s="275"/>
      <c r="AW255" s="275"/>
      <c r="AX255" s="262" t="s">
        <v>2193</v>
      </c>
      <c r="AY255" s="262" t="s">
        <v>2194</v>
      </c>
      <c r="AZ255" s="262"/>
      <c r="BA255" s="262"/>
      <c r="BB255" s="262"/>
      <c r="BC255" s="262"/>
      <c r="BD255" s="262"/>
      <c r="BE255" s="262"/>
      <c r="BF255" s="228">
        <v>4.9225000000000003</v>
      </c>
      <c r="BG255" s="228">
        <v>4.9225000000000003</v>
      </c>
      <c r="BH255" s="228">
        <v>6.6574999999999998</v>
      </c>
      <c r="BI255" s="157">
        <f>(BH255*BG255*BF255)/1728</f>
        <v>9.3355280155888315E-2</v>
      </c>
      <c r="BJ255" s="228">
        <v>0.69</v>
      </c>
      <c r="BK255" s="228">
        <v>19.181000000000001</v>
      </c>
      <c r="BL255" s="228">
        <v>14.430999999999999</v>
      </c>
      <c r="BM255" s="228">
        <v>6.6745000000000001</v>
      </c>
      <c r="BN255" s="157">
        <f t="shared" si="71"/>
        <v>1.0691599235645255</v>
      </c>
      <c r="BO255" s="228">
        <f>BJ255*BS255+0.4</f>
        <v>8.68</v>
      </c>
      <c r="BP255" s="366"/>
      <c r="BQ255" s="366"/>
      <c r="BR255" s="161" t="s">
        <v>733</v>
      </c>
      <c r="BS255" s="228">
        <v>12</v>
      </c>
      <c r="BT255" s="228">
        <v>6</v>
      </c>
      <c r="BU255" s="228">
        <v>6</v>
      </c>
      <c r="BV255" s="29">
        <f t="shared" si="72"/>
        <v>432</v>
      </c>
      <c r="BW255" s="29">
        <f t="shared" si="73"/>
        <v>362.48</v>
      </c>
      <c r="BX255" s="29" t="s">
        <v>890</v>
      </c>
      <c r="BY255" s="29" t="s">
        <v>735</v>
      </c>
      <c r="BZ255" s="15"/>
      <c r="CA255" s="15"/>
      <c r="CB255" s="15"/>
      <c r="CC255" s="282"/>
      <c r="CD255" s="282"/>
      <c r="CE255" s="282"/>
      <c r="CF255" s="282"/>
      <c r="CG255" s="282"/>
      <c r="CH255" s="282"/>
      <c r="CI255" s="282"/>
      <c r="CJ255" s="282"/>
    </row>
    <row r="256" spans="1:88" s="283" customFormat="1" ht="30" x14ac:dyDescent="0.25">
      <c r="A256" s="256">
        <v>41685</v>
      </c>
      <c r="B256" s="256"/>
      <c r="C256" s="228" t="s">
        <v>1964</v>
      </c>
      <c r="D256" s="228" t="s">
        <v>60</v>
      </c>
      <c r="E256" s="161" t="s">
        <v>2195</v>
      </c>
      <c r="F256" s="284" t="s">
        <v>2196</v>
      </c>
      <c r="G256" s="223" t="s">
        <v>777</v>
      </c>
      <c r="H256" s="27" t="s">
        <v>1966</v>
      </c>
      <c r="I256" s="207"/>
      <c r="J256" s="27"/>
      <c r="K256" s="27"/>
      <c r="L256" s="28"/>
      <c r="M256" s="253"/>
      <c r="N256" s="253"/>
      <c r="O256" s="240"/>
      <c r="P256" s="240"/>
      <c r="Q256" s="240"/>
      <c r="R256" s="240"/>
      <c r="S256" s="240"/>
      <c r="T256" s="240"/>
      <c r="U256" s="275"/>
      <c r="V256" s="275"/>
      <c r="W256" s="27"/>
      <c r="X256" s="275"/>
      <c r="Y256" s="201"/>
      <c r="Z256" s="275"/>
      <c r="AA256" s="201"/>
      <c r="AB256" s="201" t="s">
        <v>1967</v>
      </c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80">
        <v>68.61</v>
      </c>
      <c r="AS256" s="191">
        <v>0.5</v>
      </c>
      <c r="AT256" s="191">
        <v>0.55000000000000004</v>
      </c>
      <c r="AU256" s="191">
        <v>0.4</v>
      </c>
      <c r="AV256" s="275"/>
      <c r="AW256" s="275"/>
      <c r="AX256" s="262" t="s">
        <v>1968</v>
      </c>
      <c r="AY256" s="262" t="s">
        <v>2197</v>
      </c>
      <c r="AZ256" s="262"/>
      <c r="BA256" s="262"/>
      <c r="BB256" s="262"/>
      <c r="BC256" s="262"/>
      <c r="BD256" s="262"/>
      <c r="BE256" s="262"/>
      <c r="BF256" s="228">
        <v>3.992</v>
      </c>
      <c r="BG256" s="228">
        <v>3.992</v>
      </c>
      <c r="BH256" s="228">
        <v>8.234</v>
      </c>
      <c r="BI256" s="157">
        <f>(BH256*BG256*BF256)/1728</f>
        <v>7.5936082740740748E-2</v>
      </c>
      <c r="BJ256" s="228">
        <v>0.8</v>
      </c>
      <c r="BK256" s="228">
        <v>16.556000000000001</v>
      </c>
      <c r="BL256" s="228">
        <v>12.555999999999999</v>
      </c>
      <c r="BM256" s="228">
        <v>8.8620000000000001</v>
      </c>
      <c r="BN256" s="157">
        <f t="shared" si="71"/>
        <v>1.0660921176111111</v>
      </c>
      <c r="BO256" s="228">
        <f>BJ256*BS256+0.25</f>
        <v>9.8500000000000014</v>
      </c>
      <c r="BP256" s="366"/>
      <c r="BQ256" s="366"/>
      <c r="BR256" s="161" t="s">
        <v>733</v>
      </c>
      <c r="BS256" s="228">
        <v>12</v>
      </c>
      <c r="BT256" s="228">
        <v>8</v>
      </c>
      <c r="BU256" s="228">
        <v>4</v>
      </c>
      <c r="BV256" s="29">
        <f t="shared" si="72"/>
        <v>384</v>
      </c>
      <c r="BW256" s="29">
        <f t="shared" si="73"/>
        <v>365.20000000000005</v>
      </c>
      <c r="BX256" s="29" t="s">
        <v>890</v>
      </c>
      <c r="BY256" s="29" t="s">
        <v>735</v>
      </c>
      <c r="BZ256" s="15"/>
      <c r="CA256" s="15"/>
      <c r="CB256" s="15"/>
      <c r="CC256" s="282"/>
      <c r="CD256" s="282"/>
      <c r="CE256" s="282"/>
      <c r="CF256" s="282"/>
      <c r="CG256" s="282"/>
      <c r="CH256" s="282"/>
      <c r="CI256" s="282"/>
      <c r="CJ256" s="282"/>
    </row>
    <row r="257" spans="1:88" s="283" customFormat="1" x14ac:dyDescent="0.25">
      <c r="A257" s="256">
        <v>41685</v>
      </c>
      <c r="B257" s="256"/>
      <c r="C257" s="228" t="s">
        <v>2198</v>
      </c>
      <c r="D257" s="228" t="s">
        <v>746</v>
      </c>
      <c r="E257" s="161" t="s">
        <v>2199</v>
      </c>
      <c r="F257" s="284" t="s">
        <v>2200</v>
      </c>
      <c r="G257" s="223" t="s">
        <v>927</v>
      </c>
      <c r="H257" s="27" t="s">
        <v>2201</v>
      </c>
      <c r="I257" s="207"/>
      <c r="J257" s="27"/>
      <c r="K257" s="27"/>
      <c r="L257" s="28"/>
      <c r="M257" s="253"/>
      <c r="N257" s="253"/>
      <c r="O257" s="240"/>
      <c r="P257" s="240"/>
      <c r="Q257" s="240"/>
      <c r="R257" s="240"/>
      <c r="S257" s="240"/>
      <c r="T257" s="240"/>
      <c r="U257" s="275"/>
      <c r="V257" s="275"/>
      <c r="W257" s="27">
        <v>83640</v>
      </c>
      <c r="X257" s="275"/>
      <c r="Y257" s="201"/>
      <c r="Z257" s="275"/>
      <c r="AA257" s="201"/>
      <c r="AB257" s="201" t="s">
        <v>2202</v>
      </c>
      <c r="AC257" s="275" t="s">
        <v>2203</v>
      </c>
      <c r="AD257" s="275"/>
      <c r="AE257" s="275"/>
      <c r="AF257" s="275"/>
      <c r="AG257" s="275"/>
      <c r="AH257" s="275" t="s">
        <v>2204</v>
      </c>
      <c r="AI257" s="275"/>
      <c r="AJ257" s="275"/>
      <c r="AK257" s="275">
        <v>9640</v>
      </c>
      <c r="AL257" s="275" t="s">
        <v>2205</v>
      </c>
      <c r="AM257" s="275" t="s">
        <v>2206</v>
      </c>
      <c r="AN257" s="275" t="s">
        <v>2207</v>
      </c>
      <c r="AO257" s="275"/>
      <c r="AP257" s="275" t="s">
        <v>2208</v>
      </c>
      <c r="AQ257" s="275" t="s">
        <v>2209</v>
      </c>
      <c r="AR257" s="280">
        <v>46.33</v>
      </c>
      <c r="AS257" s="191"/>
      <c r="AT257" s="191"/>
      <c r="AU257" s="191"/>
      <c r="AV257" s="275"/>
      <c r="AW257" s="275"/>
      <c r="AX257" s="262" t="s">
        <v>2210</v>
      </c>
      <c r="AY257" s="262" t="s">
        <v>2211</v>
      </c>
      <c r="AZ257" s="262"/>
      <c r="BA257" s="262"/>
      <c r="BB257" s="262"/>
      <c r="BC257" s="262"/>
      <c r="BD257" s="262"/>
      <c r="BE257" s="262"/>
      <c r="BF257" s="228">
        <v>8.6560000000000006</v>
      </c>
      <c r="BG257" s="228">
        <v>2.286</v>
      </c>
      <c r="BH257" s="228">
        <v>13.942</v>
      </c>
      <c r="BI257" s="157">
        <f>(BH257*BG257*BF257)/1728</f>
        <v>0.15965216566666668</v>
      </c>
      <c r="BJ257" s="228">
        <v>0.4</v>
      </c>
      <c r="BK257" s="228">
        <v>14.5</v>
      </c>
      <c r="BL257" s="228">
        <v>9.25</v>
      </c>
      <c r="BM257" s="228">
        <v>7.5</v>
      </c>
      <c r="BN257" s="157">
        <f t="shared" si="71"/>
        <v>0.58213975694444442</v>
      </c>
      <c r="BO257" s="228">
        <f>BJ257*BS257+0.4</f>
        <v>1.6</v>
      </c>
      <c r="BP257" s="366"/>
      <c r="BQ257" s="366"/>
      <c r="BR257" s="161" t="s">
        <v>733</v>
      </c>
      <c r="BS257" s="228">
        <v>3</v>
      </c>
      <c r="BT257" s="228">
        <v>13</v>
      </c>
      <c r="BU257" s="228">
        <v>6</v>
      </c>
      <c r="BV257" s="29">
        <f t="shared" si="72"/>
        <v>234</v>
      </c>
      <c r="BW257" s="29">
        <f t="shared" si="73"/>
        <v>174.8</v>
      </c>
      <c r="BX257" s="228" t="s">
        <v>782</v>
      </c>
      <c r="BY257" s="29" t="s">
        <v>735</v>
      </c>
      <c r="BZ257" s="15"/>
      <c r="CA257" s="15"/>
      <c r="CB257" s="15"/>
      <c r="CC257" s="282"/>
      <c r="CD257" s="282"/>
      <c r="CE257" s="282"/>
      <c r="CF257" s="282"/>
      <c r="CG257" s="282"/>
      <c r="CH257" s="282"/>
      <c r="CI257" s="282"/>
      <c r="CJ257" s="282"/>
    </row>
    <row r="258" spans="1:88" s="283" customFormat="1" x14ac:dyDescent="0.25">
      <c r="A258" s="256">
        <v>41685</v>
      </c>
      <c r="B258" s="256"/>
      <c r="C258" s="228" t="s">
        <v>2212</v>
      </c>
      <c r="D258" s="228" t="s">
        <v>746</v>
      </c>
      <c r="E258" s="161" t="s">
        <v>2213</v>
      </c>
      <c r="F258" s="284" t="s">
        <v>2214</v>
      </c>
      <c r="G258" s="223" t="s">
        <v>1042</v>
      </c>
      <c r="H258" s="27" t="s">
        <v>2215</v>
      </c>
      <c r="I258" s="207"/>
      <c r="J258" s="27"/>
      <c r="K258" s="27"/>
      <c r="L258" s="28"/>
      <c r="M258" s="253"/>
      <c r="N258" s="253"/>
      <c r="O258" s="240"/>
      <c r="P258" s="240"/>
      <c r="Q258" s="240"/>
      <c r="R258" s="240"/>
      <c r="S258" s="240"/>
      <c r="T258" s="240"/>
      <c r="U258" s="275"/>
      <c r="V258" s="275"/>
      <c r="W258" s="27">
        <v>83700</v>
      </c>
      <c r="X258" s="275"/>
      <c r="Y258" s="201"/>
      <c r="Z258" s="275"/>
      <c r="AA258" s="201"/>
      <c r="AB258" s="201" t="s">
        <v>2216</v>
      </c>
      <c r="AC258" s="275" t="s">
        <v>2217</v>
      </c>
      <c r="AD258" s="275"/>
      <c r="AE258" s="275"/>
      <c r="AF258" s="275"/>
      <c r="AG258" s="275"/>
      <c r="AH258" s="275"/>
      <c r="AI258" s="275"/>
      <c r="AJ258" s="275"/>
      <c r="AK258" s="275">
        <v>9700</v>
      </c>
      <c r="AL258" s="275" t="s">
        <v>2218</v>
      </c>
      <c r="AM258" s="275" t="s">
        <v>2218</v>
      </c>
      <c r="AN258" s="240"/>
      <c r="AO258" s="240"/>
      <c r="AP258" s="275" t="s">
        <v>2219</v>
      </c>
      <c r="AQ258" s="275" t="s">
        <v>2220</v>
      </c>
      <c r="AR258" s="280">
        <v>20.07</v>
      </c>
      <c r="AS258" s="191"/>
      <c r="AT258" s="191"/>
      <c r="AU258" s="191"/>
      <c r="AV258" s="275"/>
      <c r="AW258" s="275"/>
      <c r="AX258" s="262" t="s">
        <v>2221</v>
      </c>
      <c r="AY258" s="262" t="s">
        <v>2222</v>
      </c>
      <c r="AZ258" s="262"/>
      <c r="BA258" s="262"/>
      <c r="BB258" s="262"/>
      <c r="BC258" s="262"/>
      <c r="BD258" s="262"/>
      <c r="BE258" s="262"/>
      <c r="BF258" s="451" t="s">
        <v>1509</v>
      </c>
      <c r="BG258" s="455"/>
      <c r="BH258" s="455"/>
      <c r="BI258" s="455"/>
      <c r="BJ258" s="455"/>
      <c r="BK258" s="228">
        <v>15.37</v>
      </c>
      <c r="BL258" s="228">
        <v>9.75</v>
      </c>
      <c r="BM258" s="228">
        <v>9</v>
      </c>
      <c r="BN258" s="157">
        <f t="shared" si="71"/>
        <v>0.78050781250000001</v>
      </c>
      <c r="BO258" s="228">
        <v>1.7800000000000002</v>
      </c>
      <c r="BP258" s="366"/>
      <c r="BQ258" s="366"/>
      <c r="BR258" s="161" t="s">
        <v>733</v>
      </c>
      <c r="BS258" s="228">
        <v>6</v>
      </c>
      <c r="BT258" s="228">
        <v>12</v>
      </c>
      <c r="BU258" s="228">
        <v>4</v>
      </c>
      <c r="BV258" s="29">
        <f t="shared" si="72"/>
        <v>288</v>
      </c>
      <c r="BW258" s="29">
        <f t="shared" si="73"/>
        <v>135.44</v>
      </c>
      <c r="BX258" s="228" t="s">
        <v>743</v>
      </c>
      <c r="BY258" s="29" t="s">
        <v>735</v>
      </c>
      <c r="BZ258" s="15"/>
      <c r="CA258" s="15"/>
      <c r="CB258" s="15"/>
      <c r="CC258" s="282"/>
      <c r="CD258" s="282"/>
      <c r="CE258" s="282"/>
      <c r="CF258" s="282"/>
      <c r="CG258" s="282"/>
      <c r="CH258" s="282"/>
      <c r="CI258" s="282"/>
      <c r="CJ258" s="282"/>
    </row>
    <row r="259" spans="1:88" s="283" customFormat="1" x14ac:dyDescent="0.25">
      <c r="A259" s="256">
        <v>41685</v>
      </c>
      <c r="B259" s="256"/>
      <c r="C259" s="228" t="s">
        <v>2223</v>
      </c>
      <c r="D259" s="228" t="s">
        <v>746</v>
      </c>
      <c r="E259" s="161" t="s">
        <v>2199</v>
      </c>
      <c r="F259" s="284" t="s">
        <v>2224</v>
      </c>
      <c r="G259" s="223" t="s">
        <v>869</v>
      </c>
      <c r="H259" s="27" t="s">
        <v>2225</v>
      </c>
      <c r="I259" s="207"/>
      <c r="J259" s="27"/>
      <c r="K259" s="27"/>
      <c r="L259" s="28"/>
      <c r="M259" s="253"/>
      <c r="N259" s="253"/>
      <c r="O259" s="240"/>
      <c r="P259" s="240"/>
      <c r="Q259" s="240"/>
      <c r="R259" s="240"/>
      <c r="S259" s="240"/>
      <c r="T259" s="240"/>
      <c r="U259" s="275" t="s">
        <v>2226</v>
      </c>
      <c r="V259" s="275"/>
      <c r="W259" s="27">
        <v>83630</v>
      </c>
      <c r="X259" s="275"/>
      <c r="Y259" s="201"/>
      <c r="Z259" s="275"/>
      <c r="AA259" s="201"/>
      <c r="AB259" s="201" t="s">
        <v>2227</v>
      </c>
      <c r="AC259" s="275" t="s">
        <v>2228</v>
      </c>
      <c r="AD259" s="275"/>
      <c r="AE259" s="275" t="s">
        <v>2229</v>
      </c>
      <c r="AF259" s="275"/>
      <c r="AG259" s="275"/>
      <c r="AH259" s="275"/>
      <c r="AI259" s="275"/>
      <c r="AJ259" s="275"/>
      <c r="AK259" s="275">
        <v>9630</v>
      </c>
      <c r="AL259" s="275" t="s">
        <v>2230</v>
      </c>
      <c r="AM259" s="275" t="s">
        <v>2231</v>
      </c>
      <c r="AN259" s="275" t="s">
        <v>2232</v>
      </c>
      <c r="AO259" s="275"/>
      <c r="AP259" s="275" t="s">
        <v>2233</v>
      </c>
      <c r="AQ259" s="275" t="s">
        <v>2234</v>
      </c>
      <c r="AR259" s="280"/>
      <c r="AS259" s="191"/>
      <c r="AT259" s="191"/>
      <c r="AU259" s="191"/>
      <c r="AV259" s="275"/>
      <c r="AW259" s="275"/>
      <c r="AX259" s="262" t="s">
        <v>2235</v>
      </c>
      <c r="AY259" s="262" t="s">
        <v>2236</v>
      </c>
      <c r="AZ259" s="262"/>
      <c r="BA259" s="262"/>
      <c r="BB259" s="262"/>
      <c r="BC259" s="262"/>
      <c r="BD259" s="262"/>
      <c r="BE259" s="262"/>
      <c r="BF259" s="228">
        <v>8.5359999999999996</v>
      </c>
      <c r="BG259" s="228">
        <v>2.4060000000000001</v>
      </c>
      <c r="BH259" s="228">
        <v>10.692</v>
      </c>
      <c r="BI259" s="157">
        <f t="shared" ref="BI259:BI266" si="74">(BH259*BG259*BF259)/1728</f>
        <v>0.12707649899999998</v>
      </c>
      <c r="BJ259" s="228">
        <v>0.6</v>
      </c>
      <c r="BK259" s="228">
        <v>12.25</v>
      </c>
      <c r="BL259" s="228">
        <v>10.25</v>
      </c>
      <c r="BM259" s="228">
        <v>8.25</v>
      </c>
      <c r="BN259" s="157">
        <f t="shared" si="71"/>
        <v>0.59947374131944442</v>
      </c>
      <c r="BO259" s="228">
        <f t="shared" ref="BO259:BO264" si="75">BJ259*BS259+0.4</f>
        <v>2.1999999999999997</v>
      </c>
      <c r="BP259" s="366"/>
      <c r="BQ259" s="366"/>
      <c r="BR259" s="161" t="s">
        <v>733</v>
      </c>
      <c r="BS259" s="228">
        <v>3</v>
      </c>
      <c r="BT259" s="228">
        <v>12</v>
      </c>
      <c r="BU259" s="228">
        <v>5</v>
      </c>
      <c r="BV259" s="29">
        <f t="shared" si="72"/>
        <v>180</v>
      </c>
      <c r="BW259" s="29">
        <f t="shared" si="73"/>
        <v>182</v>
      </c>
      <c r="BX259" s="228" t="s">
        <v>743</v>
      </c>
      <c r="BY259" s="29" t="s">
        <v>735</v>
      </c>
      <c r="BZ259" s="15"/>
      <c r="CA259" s="15"/>
      <c r="CB259" s="15"/>
      <c r="CC259" s="282"/>
      <c r="CD259" s="282"/>
      <c r="CE259" s="282"/>
      <c r="CF259" s="282"/>
      <c r="CG259" s="282"/>
      <c r="CH259" s="282"/>
      <c r="CI259" s="282"/>
      <c r="CJ259" s="282"/>
    </row>
    <row r="260" spans="1:88" s="283" customFormat="1" x14ac:dyDescent="0.25">
      <c r="A260" s="256">
        <v>41685</v>
      </c>
      <c r="B260" s="256"/>
      <c r="C260" s="228" t="s">
        <v>2237</v>
      </c>
      <c r="D260" s="228" t="s">
        <v>746</v>
      </c>
      <c r="E260" s="161" t="s">
        <v>2199</v>
      </c>
      <c r="F260" s="284" t="s">
        <v>2238</v>
      </c>
      <c r="G260" s="223" t="s">
        <v>869</v>
      </c>
      <c r="H260" s="27" t="s">
        <v>2239</v>
      </c>
      <c r="I260" s="207"/>
      <c r="J260" s="27"/>
      <c r="K260" s="27"/>
      <c r="L260" s="28"/>
      <c r="M260" s="253"/>
      <c r="N260" s="253"/>
      <c r="O260" s="240"/>
      <c r="P260" s="240"/>
      <c r="Q260" s="240"/>
      <c r="R260" s="240"/>
      <c r="S260" s="240"/>
      <c r="T260" s="240"/>
      <c r="U260" s="275" t="s">
        <v>2240</v>
      </c>
      <c r="V260" s="275"/>
      <c r="W260" s="27">
        <v>83031</v>
      </c>
      <c r="X260" s="275"/>
      <c r="Y260" s="201"/>
      <c r="Z260" s="275"/>
      <c r="AA260" s="201"/>
      <c r="AB260" s="201" t="s">
        <v>2241</v>
      </c>
      <c r="AC260" s="275" t="s">
        <v>2242</v>
      </c>
      <c r="AD260" s="275"/>
      <c r="AE260" s="275" t="s">
        <v>2243</v>
      </c>
      <c r="AF260" s="275"/>
      <c r="AG260" s="275"/>
      <c r="AH260" s="275" t="s">
        <v>2244</v>
      </c>
      <c r="AI260" s="275"/>
      <c r="AJ260" s="275"/>
      <c r="AK260" s="275">
        <v>9031</v>
      </c>
      <c r="AL260" s="275" t="s">
        <v>2245</v>
      </c>
      <c r="AM260" s="275" t="s">
        <v>2246</v>
      </c>
      <c r="AN260" s="275"/>
      <c r="AO260" s="275"/>
      <c r="AP260" s="275" t="s">
        <v>2247</v>
      </c>
      <c r="AQ260" s="275" t="s">
        <v>2248</v>
      </c>
      <c r="AR260" s="280">
        <v>22.84</v>
      </c>
      <c r="AS260" s="191"/>
      <c r="AT260" s="191"/>
      <c r="AU260" s="191"/>
      <c r="AV260" s="275"/>
      <c r="AW260" s="275"/>
      <c r="AX260" s="262" t="s">
        <v>2249</v>
      </c>
      <c r="AY260" s="262" t="s">
        <v>2250</v>
      </c>
      <c r="AZ260" s="262"/>
      <c r="BA260" s="262"/>
      <c r="BB260" s="262"/>
      <c r="BC260" s="262"/>
      <c r="BD260" s="262"/>
      <c r="BE260" s="262"/>
      <c r="BF260" s="228">
        <v>8.5359999999999996</v>
      </c>
      <c r="BG260" s="228">
        <v>2.4060000000000001</v>
      </c>
      <c r="BH260" s="228">
        <v>10.692</v>
      </c>
      <c r="BI260" s="157">
        <f t="shared" si="74"/>
        <v>0.12707649899999998</v>
      </c>
      <c r="BJ260" s="228">
        <v>0.6</v>
      </c>
      <c r="BK260" s="228">
        <v>12.25</v>
      </c>
      <c r="BL260" s="228">
        <v>10.25</v>
      </c>
      <c r="BM260" s="228">
        <v>8.25</v>
      </c>
      <c r="BN260" s="157">
        <f t="shared" si="71"/>
        <v>0.59947374131944442</v>
      </c>
      <c r="BO260" s="228">
        <f t="shared" si="75"/>
        <v>2.1999999999999997</v>
      </c>
      <c r="BP260" s="366"/>
      <c r="BQ260" s="366"/>
      <c r="BR260" s="161" t="s">
        <v>733</v>
      </c>
      <c r="BS260" s="228">
        <v>3</v>
      </c>
      <c r="BT260" s="228">
        <v>12</v>
      </c>
      <c r="BU260" s="228">
        <v>5</v>
      </c>
      <c r="BV260" s="29">
        <f t="shared" si="72"/>
        <v>180</v>
      </c>
      <c r="BW260" s="29">
        <f t="shared" si="73"/>
        <v>182</v>
      </c>
      <c r="BX260" s="228" t="s">
        <v>734</v>
      </c>
      <c r="BY260" s="29" t="s">
        <v>735</v>
      </c>
      <c r="BZ260" s="15"/>
      <c r="CA260" s="15"/>
      <c r="CB260" s="15"/>
      <c r="CC260" s="282"/>
      <c r="CD260" s="282"/>
      <c r="CE260" s="282"/>
      <c r="CF260" s="282"/>
      <c r="CG260" s="282"/>
      <c r="CH260" s="282"/>
      <c r="CI260" s="282"/>
      <c r="CJ260" s="282"/>
    </row>
    <row r="261" spans="1:88" s="283" customFormat="1" x14ac:dyDescent="0.25">
      <c r="A261" s="256">
        <v>41685</v>
      </c>
      <c r="B261" s="256"/>
      <c r="C261" s="228" t="s">
        <v>2251</v>
      </c>
      <c r="D261" s="228" t="s">
        <v>746</v>
      </c>
      <c r="E261" s="161" t="s">
        <v>2199</v>
      </c>
      <c r="F261" s="284" t="s">
        <v>2252</v>
      </c>
      <c r="G261" s="223" t="s">
        <v>869</v>
      </c>
      <c r="H261" s="27" t="s">
        <v>2253</v>
      </c>
      <c r="I261" s="207"/>
      <c r="J261" s="27"/>
      <c r="K261" s="27"/>
      <c r="L261" s="28"/>
      <c r="M261" s="253"/>
      <c r="N261" s="253"/>
      <c r="O261" s="240"/>
      <c r="P261" s="240"/>
      <c r="Q261" s="240"/>
      <c r="R261" s="240"/>
      <c r="S261" s="240"/>
      <c r="T261" s="240"/>
      <c r="U261" s="275" t="s">
        <v>2254</v>
      </c>
      <c r="V261" s="275"/>
      <c r="W261" s="27">
        <v>83530</v>
      </c>
      <c r="X261" s="275"/>
      <c r="Y261" s="201"/>
      <c r="Z261" s="275"/>
      <c r="AA261" s="201"/>
      <c r="AB261" s="201" t="s">
        <v>2255</v>
      </c>
      <c r="AC261" s="275" t="s">
        <v>2256</v>
      </c>
      <c r="AD261" s="275"/>
      <c r="AE261" s="275" t="s">
        <v>2257</v>
      </c>
      <c r="AF261" s="275"/>
      <c r="AG261" s="275"/>
      <c r="AH261" s="275"/>
      <c r="AI261" s="275"/>
      <c r="AJ261" s="275"/>
      <c r="AK261" s="275">
        <v>9530</v>
      </c>
      <c r="AL261" s="275" t="s">
        <v>2258</v>
      </c>
      <c r="AM261" s="275" t="s">
        <v>2259</v>
      </c>
      <c r="AN261" s="275" t="s">
        <v>2260</v>
      </c>
      <c r="AO261" s="275"/>
      <c r="AP261" s="275" t="s">
        <v>2261</v>
      </c>
      <c r="AQ261" s="275" t="s">
        <v>2262</v>
      </c>
      <c r="AR261" s="280">
        <v>13.09</v>
      </c>
      <c r="AS261" s="191"/>
      <c r="AT261" s="191"/>
      <c r="AU261" s="191"/>
      <c r="AV261" s="275"/>
      <c r="AW261" s="275"/>
      <c r="AX261" s="262" t="s">
        <v>2263</v>
      </c>
      <c r="AY261" s="262" t="s">
        <v>2264</v>
      </c>
      <c r="AZ261" s="262"/>
      <c r="BA261" s="262"/>
      <c r="BB261" s="262"/>
      <c r="BC261" s="262"/>
      <c r="BD261" s="262"/>
      <c r="BE261" s="262"/>
      <c r="BF261" s="228">
        <v>7.0359999999999996</v>
      </c>
      <c r="BG261" s="228">
        <v>2.536</v>
      </c>
      <c r="BH261" s="228">
        <v>11.821999999999999</v>
      </c>
      <c r="BI261" s="157">
        <f t="shared" si="74"/>
        <v>0.12207375307407406</v>
      </c>
      <c r="BJ261" s="228">
        <v>0.6</v>
      </c>
      <c r="BK261" s="228">
        <v>12.25</v>
      </c>
      <c r="BL261" s="228">
        <v>7.5</v>
      </c>
      <c r="BM261" s="228">
        <v>8.5</v>
      </c>
      <c r="BN261" s="157">
        <f t="shared" si="71"/>
        <v>0.4519314236111111</v>
      </c>
      <c r="BO261" s="228">
        <f t="shared" si="75"/>
        <v>2.1999999999999997</v>
      </c>
      <c r="BP261" s="366"/>
      <c r="BQ261" s="366"/>
      <c r="BR261" s="161" t="s">
        <v>733</v>
      </c>
      <c r="BS261" s="228">
        <v>3</v>
      </c>
      <c r="BT261" s="228">
        <v>20</v>
      </c>
      <c r="BU261" s="228">
        <v>5</v>
      </c>
      <c r="BV261" s="29">
        <f t="shared" si="72"/>
        <v>300</v>
      </c>
      <c r="BW261" s="29">
        <f t="shared" si="73"/>
        <v>270</v>
      </c>
      <c r="BX261" s="228" t="s">
        <v>743</v>
      </c>
      <c r="BY261" s="29" t="s">
        <v>735</v>
      </c>
      <c r="BZ261" s="15"/>
      <c r="CA261" s="15"/>
      <c r="CB261" s="15"/>
      <c r="CC261" s="282"/>
      <c r="CD261" s="282"/>
      <c r="CE261" s="282"/>
      <c r="CF261" s="282"/>
      <c r="CG261" s="282"/>
      <c r="CH261" s="282"/>
      <c r="CI261" s="282"/>
      <c r="CJ261" s="282"/>
    </row>
    <row r="262" spans="1:88" s="283" customFormat="1" ht="30" x14ac:dyDescent="0.25">
      <c r="A262" s="256">
        <v>41685</v>
      </c>
      <c r="B262" s="256"/>
      <c r="C262" s="228" t="s">
        <v>2265</v>
      </c>
      <c r="D262" s="228" t="s">
        <v>746</v>
      </c>
      <c r="E262" s="161" t="s">
        <v>2199</v>
      </c>
      <c r="F262" s="284" t="s">
        <v>2266</v>
      </c>
      <c r="G262" s="223" t="s">
        <v>967</v>
      </c>
      <c r="H262" s="27" t="s">
        <v>2267</v>
      </c>
      <c r="I262" s="223" t="s">
        <v>912</v>
      </c>
      <c r="J262" s="27" t="s">
        <v>2268</v>
      </c>
      <c r="K262" s="27"/>
      <c r="L262" s="28"/>
      <c r="M262" s="253"/>
      <c r="N262" s="253"/>
      <c r="O262" s="240"/>
      <c r="P262" s="240"/>
      <c r="Q262" s="240"/>
      <c r="R262" s="240"/>
      <c r="S262" s="240"/>
      <c r="T262" s="240"/>
      <c r="U262" s="275" t="s">
        <v>2269</v>
      </c>
      <c r="V262" s="275"/>
      <c r="W262" s="27">
        <v>83737</v>
      </c>
      <c r="X262" s="275"/>
      <c r="Y262" s="201"/>
      <c r="Z262" s="275"/>
      <c r="AA262" s="201"/>
      <c r="AB262" s="201" t="s">
        <v>2270</v>
      </c>
      <c r="AC262" s="275" t="s">
        <v>2271</v>
      </c>
      <c r="AD262" s="275"/>
      <c r="AE262" s="275" t="s">
        <v>2272</v>
      </c>
      <c r="AF262" s="275"/>
      <c r="AG262" s="275"/>
      <c r="AH262" s="275"/>
      <c r="AI262" s="275"/>
      <c r="AJ262" s="275"/>
      <c r="AK262" s="275">
        <v>9737</v>
      </c>
      <c r="AL262" s="275" t="s">
        <v>2273</v>
      </c>
      <c r="AM262" s="275" t="s">
        <v>2274</v>
      </c>
      <c r="AN262" s="275"/>
      <c r="AO262" s="275"/>
      <c r="AP262" s="275" t="s">
        <v>2275</v>
      </c>
      <c r="AQ262" s="275" t="s">
        <v>2276</v>
      </c>
      <c r="AR262" s="280">
        <v>21.45</v>
      </c>
      <c r="AS262" s="191"/>
      <c r="AT262" s="191"/>
      <c r="AU262" s="191"/>
      <c r="AV262" s="275"/>
      <c r="AW262" s="275"/>
      <c r="AX262" s="262" t="s">
        <v>2277</v>
      </c>
      <c r="AY262" s="262" t="s">
        <v>2278</v>
      </c>
      <c r="AZ262" s="262"/>
      <c r="BA262" s="262"/>
      <c r="BB262" s="262"/>
      <c r="BC262" s="262"/>
      <c r="BD262" s="262"/>
      <c r="BE262" s="262"/>
      <c r="BF262" s="228">
        <v>10.536</v>
      </c>
      <c r="BG262" s="228">
        <v>2.786</v>
      </c>
      <c r="BH262" s="228">
        <v>15.071999999999999</v>
      </c>
      <c r="BI262" s="157">
        <f t="shared" si="74"/>
        <v>0.25602597066666666</v>
      </c>
      <c r="BJ262" s="228">
        <v>0.64</v>
      </c>
      <c r="BK262" s="228">
        <v>15.68</v>
      </c>
      <c r="BL262" s="228">
        <v>11.81</v>
      </c>
      <c r="BM262" s="228">
        <v>9.6199999999999992</v>
      </c>
      <c r="BN262" s="157">
        <f t="shared" si="71"/>
        <v>1.0309255185185184</v>
      </c>
      <c r="BO262" s="228">
        <f t="shared" si="75"/>
        <v>2.3199999999999998</v>
      </c>
      <c r="BP262" s="366"/>
      <c r="BQ262" s="366"/>
      <c r="BR262" s="161" t="s">
        <v>733</v>
      </c>
      <c r="BS262" s="228">
        <v>3</v>
      </c>
      <c r="BT262" s="228">
        <v>10</v>
      </c>
      <c r="BU262" s="228">
        <v>4</v>
      </c>
      <c r="BV262" s="29">
        <f t="shared" si="72"/>
        <v>120</v>
      </c>
      <c r="BW262" s="29">
        <f t="shared" si="73"/>
        <v>142.80000000000001</v>
      </c>
      <c r="BX262" s="29" t="s">
        <v>890</v>
      </c>
      <c r="BY262" s="29" t="s">
        <v>735</v>
      </c>
      <c r="BZ262" s="15"/>
      <c r="CA262" s="15"/>
      <c r="CB262" s="15"/>
      <c r="CC262" s="282"/>
      <c r="CD262" s="282"/>
      <c r="CE262" s="282"/>
      <c r="CF262" s="282"/>
      <c r="CG262" s="282"/>
      <c r="CH262" s="282"/>
      <c r="CI262" s="282"/>
      <c r="CJ262" s="282"/>
    </row>
    <row r="263" spans="1:88" s="283" customFormat="1" x14ac:dyDescent="0.25">
      <c r="A263" s="256">
        <v>41685</v>
      </c>
      <c r="B263" s="256"/>
      <c r="C263" s="228" t="s">
        <v>2279</v>
      </c>
      <c r="D263" s="228" t="s">
        <v>746</v>
      </c>
      <c r="E263" s="161" t="s">
        <v>2280</v>
      </c>
      <c r="F263" s="284" t="s">
        <v>2281</v>
      </c>
      <c r="G263" s="223" t="s">
        <v>967</v>
      </c>
      <c r="H263" s="27" t="s">
        <v>2282</v>
      </c>
      <c r="I263" s="207"/>
      <c r="J263" s="27"/>
      <c r="K263" s="27"/>
      <c r="L263" s="28"/>
      <c r="M263" s="253"/>
      <c r="N263" s="253"/>
      <c r="O263" s="240"/>
      <c r="P263" s="240"/>
      <c r="Q263" s="240"/>
      <c r="R263" s="240"/>
      <c r="S263" s="240"/>
      <c r="T263" s="240"/>
      <c r="U263" s="275"/>
      <c r="V263" s="275"/>
      <c r="W263" s="27">
        <v>83014</v>
      </c>
      <c r="X263" s="275"/>
      <c r="Y263" s="201"/>
      <c r="Z263" s="275"/>
      <c r="AA263" s="201"/>
      <c r="AB263" s="201" t="s">
        <v>2283</v>
      </c>
      <c r="AC263" s="275" t="s">
        <v>2284</v>
      </c>
      <c r="AD263" s="275"/>
      <c r="AE263" s="275"/>
      <c r="AF263" s="275"/>
      <c r="AG263" s="275"/>
      <c r="AH263" s="275"/>
      <c r="AI263" s="275"/>
      <c r="AJ263" s="275"/>
      <c r="AK263" s="275">
        <v>9014</v>
      </c>
      <c r="AL263" s="275" t="s">
        <v>2285</v>
      </c>
      <c r="AM263" s="275" t="s">
        <v>2286</v>
      </c>
      <c r="AN263" s="275" t="s">
        <v>2287</v>
      </c>
      <c r="AO263" s="275"/>
      <c r="AP263" s="275" t="s">
        <v>2288</v>
      </c>
      <c r="AQ263" s="275" t="s">
        <v>2289</v>
      </c>
      <c r="AR263" s="280">
        <v>11.87</v>
      </c>
      <c r="AS263" s="191"/>
      <c r="AT263" s="191"/>
      <c r="AU263" s="191"/>
      <c r="AV263" s="275"/>
      <c r="AW263" s="275"/>
      <c r="AX263" s="262" t="s">
        <v>2290</v>
      </c>
      <c r="AY263" s="262" t="s">
        <v>2291</v>
      </c>
      <c r="AZ263" s="262"/>
      <c r="BA263" s="262"/>
      <c r="BB263" s="262"/>
      <c r="BC263" s="262"/>
      <c r="BD263" s="262"/>
      <c r="BE263" s="262"/>
      <c r="BF263" s="228">
        <v>7.0359999999999996</v>
      </c>
      <c r="BG263" s="228">
        <v>7.0359999999999996</v>
      </c>
      <c r="BH263" s="228">
        <v>7.2519999999999998</v>
      </c>
      <c r="BI263" s="157">
        <f t="shared" si="74"/>
        <v>0.20776180937037034</v>
      </c>
      <c r="BJ263" s="228">
        <v>0.65</v>
      </c>
      <c r="BK263" s="228">
        <v>21.75</v>
      </c>
      <c r="BL263" s="228">
        <v>7.43</v>
      </c>
      <c r="BM263" s="228">
        <v>7.81</v>
      </c>
      <c r="BN263" s="157">
        <f t="shared" si="71"/>
        <v>0.73039092881944445</v>
      </c>
      <c r="BO263" s="228">
        <f t="shared" si="75"/>
        <v>2.35</v>
      </c>
      <c r="BP263" s="366"/>
      <c r="BQ263" s="366"/>
      <c r="BR263" s="161" t="s">
        <v>733</v>
      </c>
      <c r="BS263" s="228">
        <v>3</v>
      </c>
      <c r="BT263" s="228">
        <v>10</v>
      </c>
      <c r="BU263" s="228">
        <v>5</v>
      </c>
      <c r="BV263" s="29">
        <f t="shared" si="72"/>
        <v>150</v>
      </c>
      <c r="BW263" s="29">
        <f t="shared" si="73"/>
        <v>167.5</v>
      </c>
      <c r="BX263" s="228" t="s">
        <v>734</v>
      </c>
      <c r="BY263" s="29" t="s">
        <v>735</v>
      </c>
      <c r="BZ263" s="15"/>
      <c r="CA263" s="15"/>
      <c r="CB263" s="15"/>
      <c r="CC263" s="282"/>
      <c r="CD263" s="282"/>
      <c r="CE263" s="282"/>
      <c r="CF263" s="282"/>
      <c r="CG263" s="282"/>
      <c r="CH263" s="282"/>
      <c r="CI263" s="282"/>
      <c r="CJ263" s="282"/>
    </row>
    <row r="264" spans="1:88" s="283" customFormat="1" x14ac:dyDescent="0.25">
      <c r="A264" s="256">
        <v>41685</v>
      </c>
      <c r="B264" s="256"/>
      <c r="C264" s="228" t="s">
        <v>2292</v>
      </c>
      <c r="D264" s="228" t="s">
        <v>746</v>
      </c>
      <c r="E264" s="161" t="s">
        <v>2199</v>
      </c>
      <c r="F264" s="284" t="s">
        <v>2293</v>
      </c>
      <c r="G264" s="223" t="s">
        <v>869</v>
      </c>
      <c r="H264" s="27" t="s">
        <v>2294</v>
      </c>
      <c r="I264" s="207"/>
      <c r="J264" s="27"/>
      <c r="K264" s="27"/>
      <c r="L264" s="28"/>
      <c r="M264" s="253"/>
      <c r="N264" s="253"/>
      <c r="O264" s="240"/>
      <c r="P264" s="240"/>
      <c r="Q264" s="240"/>
      <c r="R264" s="240"/>
      <c r="S264" s="240"/>
      <c r="T264" s="240"/>
      <c r="U264" s="275"/>
      <c r="V264" s="275"/>
      <c r="W264" s="27">
        <v>83610</v>
      </c>
      <c r="X264" s="275"/>
      <c r="Y264" s="201"/>
      <c r="Z264" s="275"/>
      <c r="AA264" s="201"/>
      <c r="AB264" s="201" t="s">
        <v>2295</v>
      </c>
      <c r="AC264" s="275" t="s">
        <v>2296</v>
      </c>
      <c r="AD264" s="275"/>
      <c r="AE264" s="275" t="s">
        <v>2297</v>
      </c>
      <c r="AF264" s="275"/>
      <c r="AG264" s="275"/>
      <c r="AH264" s="275"/>
      <c r="AI264" s="275"/>
      <c r="AJ264" s="275"/>
      <c r="AK264" s="275">
        <v>9610</v>
      </c>
      <c r="AL264" s="275" t="s">
        <v>2298</v>
      </c>
      <c r="AM264" s="275" t="s">
        <v>2299</v>
      </c>
      <c r="AN264" s="275"/>
      <c r="AO264" s="275"/>
      <c r="AP264" s="275" t="s">
        <v>2300</v>
      </c>
      <c r="AQ264" s="275" t="s">
        <v>2301</v>
      </c>
      <c r="AR264" s="280">
        <v>15.38</v>
      </c>
      <c r="AS264" s="191"/>
      <c r="AT264" s="191"/>
      <c r="AU264" s="191"/>
      <c r="AV264" s="275"/>
      <c r="AW264" s="275"/>
      <c r="AX264" s="262" t="s">
        <v>2302</v>
      </c>
      <c r="AY264" s="262" t="s">
        <v>2303</v>
      </c>
      <c r="AZ264" s="262"/>
      <c r="BA264" s="262"/>
      <c r="BB264" s="262"/>
      <c r="BC264" s="262"/>
      <c r="BD264" s="262"/>
      <c r="BE264" s="262"/>
      <c r="BF264" s="228">
        <v>7.7859999999999996</v>
      </c>
      <c r="BG264" s="228">
        <v>2.536</v>
      </c>
      <c r="BH264" s="228">
        <v>12.821999999999999</v>
      </c>
      <c r="BI264" s="157">
        <f t="shared" si="74"/>
        <v>0.14651283872222221</v>
      </c>
      <c r="BJ264" s="228">
        <v>0.8</v>
      </c>
      <c r="BK264" s="228">
        <v>13.5</v>
      </c>
      <c r="BL264" s="228">
        <v>8.25</v>
      </c>
      <c r="BM264" s="228">
        <v>8.5</v>
      </c>
      <c r="BN264" s="157">
        <f t="shared" si="71"/>
        <v>0.5478515625</v>
      </c>
      <c r="BO264" s="228">
        <f t="shared" si="75"/>
        <v>2.8000000000000003</v>
      </c>
      <c r="BP264" s="366"/>
      <c r="BQ264" s="366"/>
      <c r="BR264" s="161" t="s">
        <v>733</v>
      </c>
      <c r="BS264" s="228">
        <v>3</v>
      </c>
      <c r="BT264" s="228">
        <v>14</v>
      </c>
      <c r="BU264" s="228">
        <v>5</v>
      </c>
      <c r="BV264" s="29">
        <f t="shared" si="72"/>
        <v>210</v>
      </c>
      <c r="BW264" s="29">
        <f t="shared" si="73"/>
        <v>246</v>
      </c>
      <c r="BX264" s="228" t="s">
        <v>743</v>
      </c>
      <c r="BY264" s="29" t="s">
        <v>735</v>
      </c>
      <c r="BZ264" s="15"/>
      <c r="CA264" s="15"/>
      <c r="CB264" s="15"/>
      <c r="CC264" s="282"/>
      <c r="CD264" s="282"/>
      <c r="CE264" s="282"/>
      <c r="CF264" s="282"/>
      <c r="CG264" s="282"/>
      <c r="CH264" s="282"/>
      <c r="CI264" s="282"/>
      <c r="CJ264" s="282"/>
    </row>
    <row r="265" spans="1:88" s="283" customFormat="1" ht="30" x14ac:dyDescent="0.25">
      <c r="A265" s="256">
        <v>41685</v>
      </c>
      <c r="B265" s="256"/>
      <c r="C265" s="228" t="s">
        <v>2304</v>
      </c>
      <c r="D265" s="228" t="s">
        <v>746</v>
      </c>
      <c r="E265" s="161" t="s">
        <v>2305</v>
      </c>
      <c r="F265" s="284" t="s">
        <v>2306</v>
      </c>
      <c r="G265" s="223" t="s">
        <v>1029</v>
      </c>
      <c r="H265" s="27" t="s">
        <v>2307</v>
      </c>
      <c r="I265" s="207"/>
      <c r="J265" s="27"/>
      <c r="K265" s="27"/>
      <c r="L265" s="28"/>
      <c r="M265" s="253"/>
      <c r="N265" s="253"/>
      <c r="O265" s="240"/>
      <c r="P265" s="240"/>
      <c r="Q265" s="240"/>
      <c r="R265" s="240"/>
      <c r="S265" s="240"/>
      <c r="T265" s="240"/>
      <c r="U265" s="275"/>
      <c r="V265" s="275"/>
      <c r="W265" s="27">
        <v>84260</v>
      </c>
      <c r="X265" s="275"/>
      <c r="Y265" s="201"/>
      <c r="Z265" s="275" t="s">
        <v>2304</v>
      </c>
      <c r="AA265" s="201"/>
      <c r="AB265" s="201" t="s">
        <v>2308</v>
      </c>
      <c r="AC265" s="275"/>
      <c r="AD265" s="275"/>
      <c r="AE265" s="275"/>
      <c r="AF265" s="275"/>
      <c r="AG265" s="275"/>
      <c r="AH265" s="275"/>
      <c r="AI265" s="275"/>
      <c r="AJ265" s="275"/>
      <c r="AK265" s="275">
        <v>7260</v>
      </c>
      <c r="AL265" s="275" t="s">
        <v>2309</v>
      </c>
      <c r="AM265" s="275" t="s">
        <v>2310</v>
      </c>
      <c r="AN265" s="275"/>
      <c r="AO265" s="275"/>
      <c r="AP265" s="275" t="s">
        <v>2311</v>
      </c>
      <c r="AQ265" s="275" t="s">
        <v>2312</v>
      </c>
      <c r="AR265" s="280">
        <v>7.9</v>
      </c>
      <c r="AS265" s="191"/>
      <c r="AT265" s="191"/>
      <c r="AU265" s="191"/>
      <c r="AV265" s="275"/>
      <c r="AW265" s="275"/>
      <c r="AX265" s="262" t="s">
        <v>2313</v>
      </c>
      <c r="AY265" s="262" t="s">
        <v>2314</v>
      </c>
      <c r="AZ265" s="262"/>
      <c r="BA265" s="262"/>
      <c r="BB265" s="262"/>
      <c r="BC265" s="262"/>
      <c r="BD265" s="262"/>
      <c r="BE265" s="262"/>
      <c r="BF265" s="228">
        <v>2.786</v>
      </c>
      <c r="BG265" s="228">
        <v>2.786</v>
      </c>
      <c r="BH265" s="228">
        <v>3.6970000000000001</v>
      </c>
      <c r="BI265" s="157">
        <f t="shared" si="74"/>
        <v>1.6606111002314815E-2</v>
      </c>
      <c r="BJ265" s="228">
        <v>0.4</v>
      </c>
      <c r="BK265" s="228">
        <v>9</v>
      </c>
      <c r="BL265" s="228">
        <v>6.25</v>
      </c>
      <c r="BM265" s="228">
        <v>4.37</v>
      </c>
      <c r="BN265" s="157">
        <f t="shared" si="71"/>
        <v>0.14225260416666666</v>
      </c>
      <c r="BO265" s="228">
        <f>BJ265*BS265+0.25</f>
        <v>2.6500000000000004</v>
      </c>
      <c r="BP265" s="366"/>
      <c r="BQ265" s="366"/>
      <c r="BR265" s="161" t="s">
        <v>733</v>
      </c>
      <c r="BS265" s="228">
        <v>6</v>
      </c>
      <c r="BT265" s="228">
        <v>30</v>
      </c>
      <c r="BU265" s="228">
        <v>10</v>
      </c>
      <c r="BV265" s="29">
        <f t="shared" si="72"/>
        <v>1800</v>
      </c>
      <c r="BW265" s="29">
        <f t="shared" si="73"/>
        <v>845.00000000000011</v>
      </c>
      <c r="BX265" s="228" t="s">
        <v>743</v>
      </c>
      <c r="BY265" s="29" t="s">
        <v>735</v>
      </c>
      <c r="BZ265" s="15"/>
      <c r="CA265" s="15"/>
      <c r="CB265" s="15"/>
      <c r="CC265" s="282"/>
      <c r="CD265" s="282"/>
      <c r="CE265" s="282"/>
      <c r="CF265" s="282"/>
      <c r="CG265" s="282"/>
      <c r="CH265" s="282"/>
      <c r="CI265" s="282"/>
      <c r="CJ265" s="282"/>
    </row>
    <row r="266" spans="1:88" s="283" customFormat="1" ht="30" x14ac:dyDescent="0.25">
      <c r="A266" s="256">
        <v>41685</v>
      </c>
      <c r="B266" s="256"/>
      <c r="C266" s="228" t="s">
        <v>2315</v>
      </c>
      <c r="D266" s="228" t="s">
        <v>746</v>
      </c>
      <c r="E266" s="161" t="s">
        <v>2305</v>
      </c>
      <c r="F266" s="284" t="s">
        <v>2316</v>
      </c>
      <c r="G266" s="223" t="s">
        <v>912</v>
      </c>
      <c r="H266" s="27" t="s">
        <v>2317</v>
      </c>
      <c r="I266" s="207" t="s">
        <v>1984</v>
      </c>
      <c r="J266" s="27">
        <v>95810722210</v>
      </c>
      <c r="K266" s="27"/>
      <c r="L266" s="28"/>
      <c r="M266" s="253"/>
      <c r="N266" s="253"/>
      <c r="O266" s="240"/>
      <c r="P266" s="240"/>
      <c r="Q266" s="240"/>
      <c r="R266" s="240"/>
      <c r="S266" s="240"/>
      <c r="T266" s="240"/>
      <c r="U266" s="275"/>
      <c r="V266" s="275"/>
      <c r="W266" s="27">
        <v>84462</v>
      </c>
      <c r="X266" s="275"/>
      <c r="Y266" s="201"/>
      <c r="Z266" s="275" t="s">
        <v>2315</v>
      </c>
      <c r="AA266" s="201"/>
      <c r="AB266" s="201" t="s">
        <v>2318</v>
      </c>
      <c r="AC266" s="275" t="s">
        <v>2319</v>
      </c>
      <c r="AD266" s="275"/>
      <c r="AE266" s="275"/>
      <c r="AF266" s="275"/>
      <c r="AG266" s="275"/>
      <c r="AH266" s="275"/>
      <c r="AI266" s="275"/>
      <c r="AJ266" s="275"/>
      <c r="AK266" s="275">
        <v>7462</v>
      </c>
      <c r="AL266" s="275" t="s">
        <v>2320</v>
      </c>
      <c r="AM266" s="275" t="s">
        <v>2321</v>
      </c>
      <c r="AN266" s="275"/>
      <c r="AO266" s="275"/>
      <c r="AP266" s="275" t="s">
        <v>2322</v>
      </c>
      <c r="AQ266" s="275" t="s">
        <v>2323</v>
      </c>
      <c r="AR266" s="280">
        <v>12.73</v>
      </c>
      <c r="AS266" s="191"/>
      <c r="AT266" s="191"/>
      <c r="AU266" s="191"/>
      <c r="AV266" s="275"/>
      <c r="AW266" s="275"/>
      <c r="AX266" s="262" t="s">
        <v>2324</v>
      </c>
      <c r="AY266" s="262" t="s">
        <v>2325</v>
      </c>
      <c r="AZ266" s="262"/>
      <c r="BA266" s="262"/>
      <c r="BB266" s="262"/>
      <c r="BC266" s="262"/>
      <c r="BD266" s="262"/>
      <c r="BE266" s="262"/>
      <c r="BF266" s="228">
        <v>3.8479999999999999</v>
      </c>
      <c r="BG266" s="228">
        <v>3.8479999999999999</v>
      </c>
      <c r="BH266" s="228">
        <v>5.4470000000000001</v>
      </c>
      <c r="BI266" s="157">
        <f t="shared" si="74"/>
        <v>4.6674939518518511E-2</v>
      </c>
      <c r="BJ266" s="228">
        <v>0.5</v>
      </c>
      <c r="BK266" s="228">
        <v>11.93</v>
      </c>
      <c r="BL266" s="228">
        <v>8</v>
      </c>
      <c r="BM266" s="228">
        <v>6</v>
      </c>
      <c r="BN266" s="157">
        <f t="shared" si="71"/>
        <v>0.3313888888888889</v>
      </c>
      <c r="BO266" s="228">
        <f>BJ266*BS266+0.25</f>
        <v>3.25</v>
      </c>
      <c r="BP266" s="366"/>
      <c r="BQ266" s="366"/>
      <c r="BR266" s="161" t="s">
        <v>733</v>
      </c>
      <c r="BS266" s="228">
        <v>6</v>
      </c>
      <c r="BT266" s="228">
        <v>20</v>
      </c>
      <c r="BU266" s="228">
        <v>7</v>
      </c>
      <c r="BV266" s="29">
        <f t="shared" si="72"/>
        <v>840</v>
      </c>
      <c r="BW266" s="29">
        <f t="shared" si="73"/>
        <v>505</v>
      </c>
      <c r="BX266" s="228" t="s">
        <v>955</v>
      </c>
      <c r="BY266" s="29" t="s">
        <v>735</v>
      </c>
      <c r="BZ266" s="15"/>
      <c r="CA266" s="15"/>
      <c r="CB266" s="15"/>
      <c r="CC266" s="282"/>
      <c r="CD266" s="282"/>
      <c r="CE266" s="282"/>
      <c r="CF266" s="282"/>
      <c r="CG266" s="282"/>
      <c r="CH266" s="282"/>
      <c r="CI266" s="282"/>
      <c r="CJ266" s="282"/>
    </row>
    <row r="267" spans="1:88" s="283" customFormat="1" ht="30" x14ac:dyDescent="0.25">
      <c r="A267" s="256">
        <v>41685</v>
      </c>
      <c r="B267" s="256"/>
      <c r="C267" s="228" t="s">
        <v>2326</v>
      </c>
      <c r="D267" s="228" t="s">
        <v>746</v>
      </c>
      <c r="E267" s="161" t="s">
        <v>2213</v>
      </c>
      <c r="F267" s="284" t="s">
        <v>2327</v>
      </c>
      <c r="G267" s="223" t="s">
        <v>722</v>
      </c>
      <c r="H267" s="27" t="s">
        <v>2328</v>
      </c>
      <c r="I267" s="207" t="s">
        <v>49</v>
      </c>
      <c r="J267" s="27" t="s">
        <v>2329</v>
      </c>
      <c r="K267" s="27"/>
      <c r="L267" s="28"/>
      <c r="M267" s="253"/>
      <c r="N267" s="253"/>
      <c r="O267" s="240"/>
      <c r="P267" s="240"/>
      <c r="Q267" s="240"/>
      <c r="R267" s="240"/>
      <c r="S267" s="240"/>
      <c r="T267" s="240"/>
      <c r="U267" s="275"/>
      <c r="V267" s="275"/>
      <c r="W267" s="27">
        <v>89367</v>
      </c>
      <c r="X267" s="275"/>
      <c r="Y267" s="201"/>
      <c r="Z267" s="275"/>
      <c r="AA267" s="201"/>
      <c r="AB267" s="201" t="s">
        <v>2330</v>
      </c>
      <c r="AC267" s="275" t="s">
        <v>2331</v>
      </c>
      <c r="AD267" s="275"/>
      <c r="AE267" s="275"/>
      <c r="AF267" s="275"/>
      <c r="AG267" s="275"/>
      <c r="AH267" s="275"/>
      <c r="AI267" s="275"/>
      <c r="AJ267" s="275"/>
      <c r="AK267" s="275">
        <v>4367</v>
      </c>
      <c r="AL267" s="275" t="s">
        <v>2332</v>
      </c>
      <c r="AM267" s="275" t="s">
        <v>2332</v>
      </c>
      <c r="AN267" s="275" t="s">
        <v>2326</v>
      </c>
      <c r="AO267" s="275"/>
      <c r="AP267" s="275" t="s">
        <v>2333</v>
      </c>
      <c r="AQ267" s="275" t="s">
        <v>2334</v>
      </c>
      <c r="AR267" s="280">
        <v>16.97</v>
      </c>
      <c r="AS267" s="191"/>
      <c r="AT267" s="191"/>
      <c r="AU267" s="191"/>
      <c r="AV267" s="275"/>
      <c r="AW267" s="275"/>
      <c r="AX267" s="262" t="s">
        <v>2335</v>
      </c>
      <c r="AY267" s="262" t="s">
        <v>2336</v>
      </c>
      <c r="AZ267" s="262"/>
      <c r="BA267" s="262"/>
      <c r="BB267" s="262"/>
      <c r="BC267" s="262"/>
      <c r="BD267" s="262"/>
      <c r="BE267" s="262"/>
      <c r="BF267" s="451" t="s">
        <v>1509</v>
      </c>
      <c r="BG267" s="455"/>
      <c r="BH267" s="455"/>
      <c r="BI267" s="455"/>
      <c r="BJ267" s="455"/>
      <c r="BK267" s="228">
        <v>12</v>
      </c>
      <c r="BL267" s="228">
        <v>12</v>
      </c>
      <c r="BM267" s="228">
        <v>9</v>
      </c>
      <c r="BN267" s="157">
        <f t="shared" si="71"/>
        <v>0.75</v>
      </c>
      <c r="BO267" s="228">
        <v>1.69</v>
      </c>
      <c r="BP267" s="366"/>
      <c r="BQ267" s="366"/>
      <c r="BR267" s="161" t="s">
        <v>733</v>
      </c>
      <c r="BS267" s="228">
        <v>6</v>
      </c>
      <c r="BT267" s="228">
        <v>12</v>
      </c>
      <c r="BU267" s="228">
        <v>5</v>
      </c>
      <c r="BV267" s="29">
        <f t="shared" si="72"/>
        <v>360</v>
      </c>
      <c r="BW267" s="29">
        <f t="shared" si="73"/>
        <v>151.4</v>
      </c>
      <c r="BX267" s="29" t="s">
        <v>890</v>
      </c>
      <c r="BY267" s="29" t="s">
        <v>735</v>
      </c>
      <c r="BZ267" s="15"/>
      <c r="CA267" s="15"/>
      <c r="CB267" s="15"/>
      <c r="CC267" s="282"/>
      <c r="CD267" s="282"/>
      <c r="CE267" s="282"/>
      <c r="CF267" s="282"/>
      <c r="CG267" s="282"/>
      <c r="CH267" s="282"/>
      <c r="CI267" s="282"/>
      <c r="CJ267" s="282"/>
    </row>
    <row r="268" spans="1:88" s="283" customFormat="1" ht="30" customHeight="1" x14ac:dyDescent="0.25">
      <c r="A268" s="256">
        <v>41671</v>
      </c>
      <c r="B268" s="256"/>
      <c r="C268" s="228" t="s">
        <v>2337</v>
      </c>
      <c r="D268" s="238" t="s">
        <v>60</v>
      </c>
      <c r="E268" s="284" t="s">
        <v>2338</v>
      </c>
      <c r="F268" s="285" t="s">
        <v>2339</v>
      </c>
      <c r="G268" s="223" t="s">
        <v>1278</v>
      </c>
      <c r="H268" s="223" t="s">
        <v>2340</v>
      </c>
      <c r="I268" s="27"/>
      <c r="J268" s="27"/>
      <c r="K268" s="27"/>
      <c r="L268" s="240"/>
      <c r="M268" s="240"/>
      <c r="N268" s="240"/>
      <c r="O268" s="240"/>
      <c r="P268" s="240"/>
      <c r="Q268" s="240"/>
      <c r="R268" s="240"/>
      <c r="S268" s="240"/>
      <c r="T268" s="240"/>
      <c r="U268" s="275" t="s">
        <v>2341</v>
      </c>
      <c r="V268" s="275"/>
      <c r="W268" s="27"/>
      <c r="X268" s="275"/>
      <c r="Y268" s="201" t="s">
        <v>2342</v>
      </c>
      <c r="Z268" s="275"/>
      <c r="AA268" s="201" t="s">
        <v>2343</v>
      </c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80">
        <v>76.430000000000007</v>
      </c>
      <c r="AS268" s="286"/>
      <c r="AT268" s="286"/>
      <c r="AU268" s="286"/>
      <c r="AV268" s="275"/>
      <c r="AW268" s="275"/>
      <c r="AX268" s="228" t="s">
        <v>2344</v>
      </c>
      <c r="AY268" s="228" t="s">
        <v>2345</v>
      </c>
      <c r="AZ268" s="228"/>
      <c r="BA268" s="228"/>
      <c r="BB268" s="228"/>
      <c r="BC268" s="228"/>
      <c r="BD268" s="228"/>
      <c r="BE268" s="228"/>
      <c r="BF268" s="452" t="s">
        <v>989</v>
      </c>
      <c r="BG268" s="452"/>
      <c r="BH268" s="452"/>
      <c r="BI268" s="452"/>
      <c r="BJ268" s="452"/>
      <c r="BK268" s="287">
        <v>2.375</v>
      </c>
      <c r="BL268" s="287">
        <v>2.5</v>
      </c>
      <c r="BM268" s="287">
        <v>8.875</v>
      </c>
      <c r="BN268" s="157">
        <f t="shared" si="71"/>
        <v>3.0494972511574073E-2</v>
      </c>
      <c r="BO268" s="281">
        <f>0.55+0.1</f>
        <v>0.65</v>
      </c>
      <c r="BP268" s="281"/>
      <c r="BQ268" s="281"/>
      <c r="BR268" s="228" t="s">
        <v>733</v>
      </c>
      <c r="BS268" s="228">
        <v>1</v>
      </c>
      <c r="BT268" s="228">
        <v>156</v>
      </c>
      <c r="BU268" s="228">
        <v>4</v>
      </c>
      <c r="BV268" s="29">
        <f t="shared" si="72"/>
        <v>624</v>
      </c>
      <c r="BW268" s="29">
        <f t="shared" si="73"/>
        <v>455.6</v>
      </c>
      <c r="BX268" s="29" t="s">
        <v>76</v>
      </c>
      <c r="BY268" s="29" t="s">
        <v>735</v>
      </c>
      <c r="BZ268" s="254"/>
      <c r="CA268" s="254"/>
      <c r="CB268" s="15"/>
      <c r="CC268" s="282"/>
      <c r="CD268" s="282"/>
      <c r="CE268" s="282"/>
      <c r="CF268" s="282"/>
      <c r="CG268" s="282"/>
      <c r="CH268" s="282"/>
      <c r="CI268" s="282"/>
      <c r="CJ268" s="282"/>
    </row>
    <row r="269" spans="1:88" s="283" customFormat="1" ht="30" x14ac:dyDescent="0.25">
      <c r="A269" s="256">
        <v>41671</v>
      </c>
      <c r="B269" s="256"/>
      <c r="C269" s="161" t="s">
        <v>2346</v>
      </c>
      <c r="D269" s="238" t="s">
        <v>60</v>
      </c>
      <c r="E269" s="284" t="s">
        <v>2347</v>
      </c>
      <c r="F269" s="271" t="s">
        <v>2348</v>
      </c>
      <c r="G269" s="240" t="s">
        <v>1148</v>
      </c>
      <c r="H269" s="238" t="s">
        <v>2349</v>
      </c>
      <c r="I269" s="27"/>
      <c r="J269" s="27"/>
      <c r="K269" s="27"/>
      <c r="L269" s="240"/>
      <c r="M269" s="240"/>
      <c r="N269" s="240"/>
      <c r="O269" s="240"/>
      <c r="P269" s="240"/>
      <c r="Q269" s="240"/>
      <c r="R269" s="240"/>
      <c r="S269" s="240"/>
      <c r="T269" s="240"/>
      <c r="U269" s="275" t="s">
        <v>2350</v>
      </c>
      <c r="V269" s="275"/>
      <c r="W269" s="27"/>
      <c r="X269" s="275"/>
      <c r="Y269" s="201"/>
      <c r="Z269" s="275"/>
      <c r="AA269" s="201" t="s">
        <v>2351</v>
      </c>
      <c r="AB269" s="275" t="s">
        <v>2352</v>
      </c>
      <c r="AC269" s="275"/>
      <c r="AD269" s="275"/>
      <c r="AE269" s="275"/>
      <c r="AF269" s="275"/>
      <c r="AG269" s="275"/>
      <c r="AH269" s="275"/>
      <c r="AI269" s="275"/>
      <c r="AJ269" s="275"/>
      <c r="AK269" s="275"/>
      <c r="AL269" s="275"/>
      <c r="AM269" s="275"/>
      <c r="AN269" s="275"/>
      <c r="AO269" s="275"/>
      <c r="AP269" s="275"/>
      <c r="AQ269" s="275">
        <v>57799</v>
      </c>
      <c r="AR269" s="280">
        <v>25.47</v>
      </c>
      <c r="AS269" s="286">
        <v>1</v>
      </c>
      <c r="AT269" s="286">
        <v>1.25</v>
      </c>
      <c r="AU269" s="286">
        <v>0.9</v>
      </c>
      <c r="AV269" s="275"/>
      <c r="AW269" s="275"/>
      <c r="AX269" s="262" t="s">
        <v>2353</v>
      </c>
      <c r="AY269" s="262" t="s">
        <v>2354</v>
      </c>
      <c r="AZ269" s="262"/>
      <c r="BA269" s="262"/>
      <c r="BB269" s="262"/>
      <c r="BC269" s="262"/>
      <c r="BD269" s="262"/>
      <c r="BE269" s="262"/>
      <c r="BF269" s="451" t="s">
        <v>1509</v>
      </c>
      <c r="BG269" s="455"/>
      <c r="BH269" s="455"/>
      <c r="BI269" s="455"/>
      <c r="BJ269" s="455"/>
      <c r="BK269" s="153">
        <v>18.056000000000001</v>
      </c>
      <c r="BL269" s="153">
        <v>12.055999999999999</v>
      </c>
      <c r="BM269" s="153">
        <v>11.231999999999999</v>
      </c>
      <c r="BN269" s="157">
        <f t="shared" si="71"/>
        <v>1.4149403839999997</v>
      </c>
      <c r="BO269" s="153">
        <f>3.5*6+0.4</f>
        <v>21.4</v>
      </c>
      <c r="BP269" s="360"/>
      <c r="BQ269" s="360"/>
      <c r="BR269" s="161" t="s">
        <v>733</v>
      </c>
      <c r="BS269" s="161">
        <v>6</v>
      </c>
      <c r="BT269" s="161">
        <v>8</v>
      </c>
      <c r="BU269" s="161">
        <v>4</v>
      </c>
      <c r="BV269" s="29">
        <f t="shared" si="72"/>
        <v>192</v>
      </c>
      <c r="BW269" s="29">
        <f t="shared" si="73"/>
        <v>734.8</v>
      </c>
      <c r="BX269" s="29" t="s">
        <v>890</v>
      </c>
      <c r="BY269" s="29" t="s">
        <v>735</v>
      </c>
      <c r="BZ269" s="254"/>
      <c r="CA269" s="254"/>
      <c r="CB269" s="15"/>
      <c r="CC269" s="282"/>
      <c r="CD269" s="282"/>
      <c r="CE269" s="282"/>
      <c r="CF269" s="282"/>
      <c r="CG269" s="282"/>
      <c r="CH269" s="282"/>
      <c r="CI269" s="282"/>
      <c r="CJ269" s="282"/>
    </row>
    <row r="270" spans="1:88" s="283" customFormat="1" ht="15" customHeight="1" x14ac:dyDescent="0.25">
      <c r="A270" s="256">
        <v>41671</v>
      </c>
      <c r="B270" s="256"/>
      <c r="C270" s="228" t="s">
        <v>2355</v>
      </c>
      <c r="D270" s="238" t="s">
        <v>60</v>
      </c>
      <c r="E270" s="240" t="s">
        <v>2356</v>
      </c>
      <c r="F270" s="284" t="s">
        <v>2357</v>
      </c>
      <c r="G270" s="284" t="s">
        <v>2358</v>
      </c>
      <c r="H270" s="27" t="s">
        <v>2359</v>
      </c>
      <c r="I270" s="207"/>
      <c r="J270" s="27"/>
      <c r="K270" s="27"/>
      <c r="L270" s="240"/>
      <c r="M270" s="240"/>
      <c r="N270" s="240"/>
      <c r="O270" s="240"/>
      <c r="P270" s="240"/>
      <c r="Q270" s="240"/>
      <c r="R270" s="240"/>
      <c r="S270" s="240"/>
      <c r="T270" s="240"/>
      <c r="U270" s="275"/>
      <c r="V270" s="275"/>
      <c r="W270" s="27"/>
      <c r="X270" s="275"/>
      <c r="Y270" s="27" t="s">
        <v>2360</v>
      </c>
      <c r="Z270" s="275"/>
      <c r="AA270" s="27"/>
      <c r="AB270" s="275"/>
      <c r="AC270" s="275"/>
      <c r="AD270" s="275"/>
      <c r="AE270" s="275"/>
      <c r="AF270" s="275"/>
      <c r="AG270" s="275"/>
      <c r="AH270" s="275"/>
      <c r="AI270" s="275"/>
      <c r="AJ270" s="275"/>
      <c r="AK270" s="275"/>
      <c r="AL270" s="275"/>
      <c r="AM270" s="275"/>
      <c r="AN270" s="275"/>
      <c r="AO270" s="275"/>
      <c r="AP270" s="275"/>
      <c r="AQ270" s="275"/>
      <c r="AR270" s="280">
        <v>22.64</v>
      </c>
      <c r="AS270" s="286"/>
      <c r="AT270" s="240"/>
      <c r="AU270" s="240"/>
      <c r="AV270" s="275"/>
      <c r="AW270" s="275"/>
      <c r="AX270" s="228" t="s">
        <v>2361</v>
      </c>
      <c r="AY270" s="264">
        <v>10038568737110</v>
      </c>
      <c r="AZ270" s="264"/>
      <c r="BA270" s="264"/>
      <c r="BB270" s="264"/>
      <c r="BC270" s="264"/>
      <c r="BD270" s="264"/>
      <c r="BE270" s="264"/>
      <c r="BF270" s="452" t="s">
        <v>989</v>
      </c>
      <c r="BG270" s="452"/>
      <c r="BH270" s="452"/>
      <c r="BI270" s="452"/>
      <c r="BJ270" s="452"/>
      <c r="BK270" s="287">
        <v>5.25</v>
      </c>
      <c r="BL270" s="287">
        <v>5.25</v>
      </c>
      <c r="BM270" s="287">
        <v>20.5</v>
      </c>
      <c r="BN270" s="157">
        <f t="shared" si="71"/>
        <v>0.32698567708333331</v>
      </c>
      <c r="BO270" s="281">
        <v>3.25</v>
      </c>
      <c r="BP270" s="281"/>
      <c r="BQ270" s="281"/>
      <c r="BR270" s="228" t="s">
        <v>733</v>
      </c>
      <c r="BS270" s="228">
        <v>1</v>
      </c>
      <c r="BT270" s="228">
        <v>36</v>
      </c>
      <c r="BU270" s="228">
        <v>2</v>
      </c>
      <c r="BV270" s="29">
        <f t="shared" si="72"/>
        <v>72</v>
      </c>
      <c r="BW270" s="29">
        <f t="shared" si="73"/>
        <v>284</v>
      </c>
      <c r="BX270" s="29" t="s">
        <v>734</v>
      </c>
      <c r="BY270" s="29" t="s">
        <v>735</v>
      </c>
      <c r="BZ270" s="254"/>
      <c r="CA270" s="254"/>
      <c r="CB270" s="15"/>
      <c r="CC270" s="282"/>
      <c r="CD270" s="282"/>
      <c r="CE270" s="282"/>
      <c r="CF270" s="282"/>
      <c r="CG270" s="282"/>
      <c r="CH270" s="282"/>
      <c r="CI270" s="282"/>
      <c r="CJ270" s="282"/>
    </row>
    <row r="271" spans="1:88" s="283" customFormat="1" ht="15" customHeight="1" x14ac:dyDescent="0.25">
      <c r="A271" s="256">
        <v>41671</v>
      </c>
      <c r="B271" s="256"/>
      <c r="C271" s="228" t="s">
        <v>2362</v>
      </c>
      <c r="D271" s="238" t="s">
        <v>60</v>
      </c>
      <c r="E271" s="240" t="s">
        <v>2363</v>
      </c>
      <c r="F271" s="284" t="s">
        <v>2364</v>
      </c>
      <c r="G271" s="223" t="s">
        <v>2365</v>
      </c>
      <c r="H271" s="27" t="s">
        <v>2366</v>
      </c>
      <c r="I271" s="207"/>
      <c r="J271" s="27"/>
      <c r="K271" s="27"/>
      <c r="L271" s="240"/>
      <c r="M271" s="240"/>
      <c r="N271" s="240"/>
      <c r="O271" s="240"/>
      <c r="P271" s="240"/>
      <c r="Q271" s="240"/>
      <c r="R271" s="240"/>
      <c r="S271" s="240"/>
      <c r="T271" s="240"/>
      <c r="U271" s="275" t="s">
        <v>2367</v>
      </c>
      <c r="V271" s="275"/>
      <c r="W271" s="27"/>
      <c r="X271" s="275"/>
      <c r="Y271" s="27" t="s">
        <v>2368</v>
      </c>
      <c r="Z271" s="275"/>
      <c r="AA271" s="27" t="s">
        <v>2369</v>
      </c>
      <c r="AB271" s="275" t="s">
        <v>2370</v>
      </c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 t="s">
        <v>2371</v>
      </c>
      <c r="AM271" s="275"/>
      <c r="AN271" s="275"/>
      <c r="AO271" s="275"/>
      <c r="AP271" s="275"/>
      <c r="AQ271" s="275">
        <v>42763</v>
      </c>
      <c r="AR271" s="280">
        <v>15.98</v>
      </c>
      <c r="AS271" s="280"/>
      <c r="AT271" s="280"/>
      <c r="AU271" s="191"/>
      <c r="AV271" s="275"/>
      <c r="AW271" s="275"/>
      <c r="AX271" s="228" t="s">
        <v>2372</v>
      </c>
      <c r="AY271" s="264">
        <v>10038568738018</v>
      </c>
      <c r="AZ271" s="264"/>
      <c r="BA271" s="264"/>
      <c r="BB271" s="264"/>
      <c r="BC271" s="264"/>
      <c r="BD271" s="264"/>
      <c r="BE271" s="264"/>
      <c r="BF271" s="452" t="s">
        <v>989</v>
      </c>
      <c r="BG271" s="452"/>
      <c r="BH271" s="452"/>
      <c r="BI271" s="452"/>
      <c r="BJ271" s="452"/>
      <c r="BK271" s="287">
        <v>7.25</v>
      </c>
      <c r="BL271" s="287">
        <v>9.1199999999999992</v>
      </c>
      <c r="BM271" s="287">
        <v>14.5</v>
      </c>
      <c r="BN271" s="157">
        <f t="shared" si="71"/>
        <v>0.5548263888888888</v>
      </c>
      <c r="BO271" s="281">
        <f>2.61+0.25</f>
        <v>2.86</v>
      </c>
      <c r="BP271" s="281"/>
      <c r="BQ271" s="281"/>
      <c r="BR271" s="228" t="s">
        <v>733</v>
      </c>
      <c r="BS271" s="228">
        <v>1</v>
      </c>
      <c r="BT271" s="228">
        <v>13</v>
      </c>
      <c r="BU271" s="228">
        <v>5</v>
      </c>
      <c r="BV271" s="29">
        <f t="shared" si="72"/>
        <v>65</v>
      </c>
      <c r="BW271" s="29">
        <f t="shared" si="73"/>
        <v>235.9</v>
      </c>
      <c r="BX271" s="29" t="s">
        <v>890</v>
      </c>
      <c r="BY271" s="29" t="s">
        <v>735</v>
      </c>
      <c r="BZ271" s="254"/>
      <c r="CA271" s="254"/>
      <c r="CB271" s="15"/>
      <c r="CC271" s="282"/>
      <c r="CD271" s="282"/>
      <c r="CE271" s="282"/>
      <c r="CF271" s="282"/>
      <c r="CG271" s="282"/>
      <c r="CH271" s="282"/>
      <c r="CI271" s="282"/>
      <c r="CJ271" s="282"/>
    </row>
    <row r="272" spans="1:88" s="283" customFormat="1" ht="30" x14ac:dyDescent="0.25">
      <c r="A272" s="256">
        <v>41671</v>
      </c>
      <c r="B272" s="256"/>
      <c r="C272" s="161" t="s">
        <v>2373</v>
      </c>
      <c r="D272" s="238" t="s">
        <v>720</v>
      </c>
      <c r="E272" s="240" t="s">
        <v>697</v>
      </c>
      <c r="F272" s="284" t="s">
        <v>2374</v>
      </c>
      <c r="G272" s="223" t="s">
        <v>967</v>
      </c>
      <c r="H272" s="27" t="s">
        <v>2375</v>
      </c>
      <c r="I272" s="27" t="s">
        <v>1537</v>
      </c>
      <c r="J272" s="27" t="s">
        <v>2376</v>
      </c>
      <c r="K272" s="27"/>
      <c r="L272" s="240"/>
      <c r="M272" s="240"/>
      <c r="N272" s="240"/>
      <c r="O272" s="240"/>
      <c r="P272" s="240"/>
      <c r="Q272" s="240"/>
      <c r="R272" s="240"/>
      <c r="S272" s="240"/>
      <c r="T272" s="240"/>
      <c r="U272" s="275"/>
      <c r="V272" s="275"/>
      <c r="W272" s="27">
        <v>83746</v>
      </c>
      <c r="X272" s="275"/>
      <c r="Y272" s="27"/>
      <c r="Z272" s="275"/>
      <c r="AA272" s="27"/>
      <c r="AB272" s="275" t="s">
        <v>2377</v>
      </c>
      <c r="AC272" s="275" t="s">
        <v>2378</v>
      </c>
      <c r="AD272" s="275"/>
      <c r="AE272" s="275" t="s">
        <v>2379</v>
      </c>
      <c r="AF272" s="275"/>
      <c r="AG272" s="275"/>
      <c r="AH272" s="275"/>
      <c r="AI272" s="275" t="s">
        <v>2373</v>
      </c>
      <c r="AJ272" s="275"/>
      <c r="AK272" s="275">
        <v>9746</v>
      </c>
      <c r="AL272" s="275" t="s">
        <v>2380</v>
      </c>
      <c r="AM272" s="275" t="s">
        <v>2381</v>
      </c>
      <c r="AN272" s="275"/>
      <c r="AO272" s="275"/>
      <c r="AP272" s="275" t="s">
        <v>2382</v>
      </c>
      <c r="AQ272" s="275">
        <v>49746</v>
      </c>
      <c r="AR272" s="280">
        <v>225</v>
      </c>
      <c r="AS272" s="280"/>
      <c r="AT272" s="280"/>
      <c r="AU272" s="191"/>
      <c r="AV272" s="275"/>
      <c r="AW272" s="275"/>
      <c r="AX272" s="262" t="s">
        <v>2383</v>
      </c>
      <c r="AY272" s="264">
        <v>10038568738315</v>
      </c>
      <c r="AZ272" s="264"/>
      <c r="BA272" s="264"/>
      <c r="BB272" s="264"/>
      <c r="BC272" s="264"/>
      <c r="BD272" s="264"/>
      <c r="BE272" s="264"/>
      <c r="BF272" s="287">
        <v>10.536</v>
      </c>
      <c r="BG272" s="287">
        <v>2.786</v>
      </c>
      <c r="BH272" s="287">
        <v>15.036</v>
      </c>
      <c r="BI272" s="157">
        <f>(BH272*BG272*BF272)/1728</f>
        <v>0.25541444366666666</v>
      </c>
      <c r="BJ272" s="287">
        <f>0.81+0.1</f>
        <v>0.91</v>
      </c>
      <c r="BK272" s="287">
        <v>15.68</v>
      </c>
      <c r="BL272" s="287">
        <v>11.81</v>
      </c>
      <c r="BM272" s="287">
        <v>9.6199999999999992</v>
      </c>
      <c r="BN272" s="157">
        <f t="shared" si="71"/>
        <v>1.0309255185185184</v>
      </c>
      <c r="BO272" s="281">
        <f>BJ272*BS272</f>
        <v>2.73</v>
      </c>
      <c r="BP272" s="281"/>
      <c r="BQ272" s="281"/>
      <c r="BR272" s="228" t="s">
        <v>733</v>
      </c>
      <c r="BS272" s="228">
        <v>3</v>
      </c>
      <c r="BT272" s="228">
        <v>10</v>
      </c>
      <c r="BU272" s="228">
        <v>4</v>
      </c>
      <c r="BV272" s="29">
        <f t="shared" si="72"/>
        <v>120</v>
      </c>
      <c r="BW272" s="29">
        <f t="shared" si="73"/>
        <v>159.19999999999999</v>
      </c>
      <c r="BX272" s="29" t="s">
        <v>743</v>
      </c>
      <c r="BY272" s="29" t="s">
        <v>735</v>
      </c>
      <c r="BZ272" s="254"/>
      <c r="CA272" s="254"/>
      <c r="CB272" s="15"/>
      <c r="CC272" s="282"/>
      <c r="CD272" s="282"/>
      <c r="CE272" s="282"/>
      <c r="CF272" s="282"/>
      <c r="CG272" s="282"/>
      <c r="CH272" s="282"/>
      <c r="CI272" s="282"/>
      <c r="CJ272" s="282"/>
    </row>
    <row r="273" spans="1:88" s="283" customFormat="1" x14ac:dyDescent="0.25">
      <c r="A273" s="256">
        <v>41671</v>
      </c>
      <c r="B273" s="256"/>
      <c r="C273" s="228" t="s">
        <v>2384</v>
      </c>
      <c r="D273" s="238" t="s">
        <v>720</v>
      </c>
      <c r="E273" s="240" t="s">
        <v>697</v>
      </c>
      <c r="F273" s="284" t="s">
        <v>2385</v>
      </c>
      <c r="G273" s="223" t="s">
        <v>903</v>
      </c>
      <c r="H273" s="27" t="s">
        <v>2386</v>
      </c>
      <c r="I273" s="27"/>
      <c r="J273" s="27"/>
      <c r="K273" s="27"/>
      <c r="L273" s="240"/>
      <c r="M273" s="240"/>
      <c r="N273" s="240"/>
      <c r="O273" s="240"/>
      <c r="P273" s="240"/>
      <c r="Q273" s="240"/>
      <c r="R273" s="240"/>
      <c r="S273" s="240"/>
      <c r="T273" s="240"/>
      <c r="U273" s="275"/>
      <c r="V273" s="275"/>
      <c r="W273" s="27"/>
      <c r="X273" s="275"/>
      <c r="Y273" s="27"/>
      <c r="Z273" s="275"/>
      <c r="AA273" s="27"/>
      <c r="AB273" s="275" t="s">
        <v>2387</v>
      </c>
      <c r="AC273" s="275"/>
      <c r="AD273" s="275"/>
      <c r="AE273" s="275"/>
      <c r="AF273" s="275"/>
      <c r="AG273" s="275"/>
      <c r="AH273" s="275"/>
      <c r="AI273" s="275"/>
      <c r="AJ273" s="275"/>
      <c r="AK273" s="275"/>
      <c r="AL273" s="275" t="s">
        <v>2388</v>
      </c>
      <c r="AM273" s="275" t="s">
        <v>2389</v>
      </c>
      <c r="AN273" s="275"/>
      <c r="AO273" s="275"/>
      <c r="AP273" s="275" t="s">
        <v>2390</v>
      </c>
      <c r="AQ273" s="275"/>
      <c r="AR273" s="280">
        <v>24.76</v>
      </c>
      <c r="AS273" s="280"/>
      <c r="AT273" s="280"/>
      <c r="AU273" s="191"/>
      <c r="AV273" s="275"/>
      <c r="AW273" s="275"/>
      <c r="AX273" s="262" t="s">
        <v>2391</v>
      </c>
      <c r="AY273" s="264">
        <v>10038568738322</v>
      </c>
      <c r="AZ273" s="264"/>
      <c r="BA273" s="264"/>
      <c r="BB273" s="264"/>
      <c r="BC273" s="264"/>
      <c r="BD273" s="264"/>
      <c r="BE273" s="264"/>
      <c r="BF273" s="287">
        <v>10.036</v>
      </c>
      <c r="BG273" s="287">
        <v>2.536</v>
      </c>
      <c r="BH273" s="287">
        <v>12.571999999999999</v>
      </c>
      <c r="BI273" s="157">
        <f>(BH273*BG273*BF273)/1728</f>
        <v>0.18516996140740738</v>
      </c>
      <c r="BJ273" s="287">
        <f>0.78925+0.1</f>
        <v>0.88924999999999998</v>
      </c>
      <c r="BK273" s="287">
        <v>13.25</v>
      </c>
      <c r="BL273" s="287">
        <v>11</v>
      </c>
      <c r="BM273" s="287">
        <v>9</v>
      </c>
      <c r="BN273" s="157">
        <f t="shared" si="71"/>
        <v>0.75911458333333337</v>
      </c>
      <c r="BO273" s="281">
        <f>BJ273*BS273</f>
        <v>2.6677499999999998</v>
      </c>
      <c r="BP273" s="281"/>
      <c r="BQ273" s="281"/>
      <c r="BR273" s="228" t="s">
        <v>733</v>
      </c>
      <c r="BS273" s="228">
        <v>3</v>
      </c>
      <c r="BT273" s="228">
        <v>12</v>
      </c>
      <c r="BU273" s="228">
        <v>4</v>
      </c>
      <c r="BV273" s="29">
        <f t="shared" si="72"/>
        <v>144</v>
      </c>
      <c r="BW273" s="29">
        <f t="shared" si="73"/>
        <v>178.05199999999999</v>
      </c>
      <c r="BX273" s="29" t="s">
        <v>734</v>
      </c>
      <c r="BY273" s="29" t="s">
        <v>735</v>
      </c>
      <c r="BZ273" s="254"/>
      <c r="CA273" s="254"/>
      <c r="CB273" s="15"/>
      <c r="CC273" s="282"/>
      <c r="CD273" s="282"/>
      <c r="CE273" s="282"/>
      <c r="CF273" s="282"/>
      <c r="CG273" s="282"/>
      <c r="CH273" s="282"/>
      <c r="CI273" s="282"/>
      <c r="CJ273" s="282"/>
    </row>
    <row r="274" spans="1:88" s="283" customFormat="1" x14ac:dyDescent="0.25">
      <c r="A274" s="256">
        <v>41671</v>
      </c>
      <c r="B274" s="256"/>
      <c r="C274" s="161" t="s">
        <v>2392</v>
      </c>
      <c r="D274" s="238" t="s">
        <v>746</v>
      </c>
      <c r="E274" s="240" t="s">
        <v>697</v>
      </c>
      <c r="F274" s="284" t="s">
        <v>2393</v>
      </c>
      <c r="G274" s="223" t="s">
        <v>869</v>
      </c>
      <c r="H274" s="27" t="s">
        <v>2394</v>
      </c>
      <c r="I274" s="207"/>
      <c r="J274" s="27"/>
      <c r="K274" s="27"/>
      <c r="L274" s="240"/>
      <c r="M274" s="240"/>
      <c r="N274" s="240"/>
      <c r="O274" s="240"/>
      <c r="P274" s="240"/>
      <c r="Q274" s="240"/>
      <c r="R274" s="240"/>
      <c r="S274" s="240"/>
      <c r="T274" s="240"/>
      <c r="U274" s="275"/>
      <c r="V274" s="275"/>
      <c r="W274" s="27"/>
      <c r="X274" s="275"/>
      <c r="Y274" s="27"/>
      <c r="Z274" s="275"/>
      <c r="AA274" s="27"/>
      <c r="AB274" s="275" t="s">
        <v>2395</v>
      </c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 t="s">
        <v>2396</v>
      </c>
      <c r="AM274" s="275" t="s">
        <v>2397</v>
      </c>
      <c r="AN274" s="275"/>
      <c r="AO274" s="275"/>
      <c r="AP274" s="275" t="s">
        <v>2398</v>
      </c>
      <c r="AQ274" s="275">
        <v>49091</v>
      </c>
      <c r="AR274" s="280">
        <v>23.33</v>
      </c>
      <c r="AS274" s="280"/>
      <c r="AT274" s="280"/>
      <c r="AU274" s="191"/>
      <c r="AV274" s="275"/>
      <c r="AW274" s="275"/>
      <c r="AX274" s="262" t="s">
        <v>2399</v>
      </c>
      <c r="AY274" s="262" t="s">
        <v>2400</v>
      </c>
      <c r="AZ274" s="262"/>
      <c r="BA274" s="262"/>
      <c r="BB274" s="262"/>
      <c r="BC274" s="262"/>
      <c r="BD274" s="262"/>
      <c r="BE274" s="262"/>
      <c r="BF274" s="153">
        <v>7.476</v>
      </c>
      <c r="BG274" s="153">
        <v>2.786</v>
      </c>
      <c r="BH274" s="153">
        <v>9.5719999999999992</v>
      </c>
      <c r="BI274" s="157">
        <f>(BH274*BG274*BF274)/1728</f>
        <v>0.11537437372222221</v>
      </c>
      <c r="BJ274" s="153">
        <f>0.5+0.1</f>
        <v>0.6</v>
      </c>
      <c r="BK274" s="153">
        <v>8.625</v>
      </c>
      <c r="BL274" s="153">
        <v>8.625</v>
      </c>
      <c r="BM274" s="153">
        <v>10.75</v>
      </c>
      <c r="BN274" s="157">
        <f t="shared" si="71"/>
        <v>0.46278889973958331</v>
      </c>
      <c r="BO274" s="153">
        <f>BJ274*BS274+0.4</f>
        <v>2.1999999999999997</v>
      </c>
      <c r="BP274" s="360"/>
      <c r="BQ274" s="360"/>
      <c r="BR274" s="161" t="s">
        <v>733</v>
      </c>
      <c r="BS274" s="161">
        <v>3</v>
      </c>
      <c r="BT274" s="161">
        <v>20</v>
      </c>
      <c r="BU274" s="161">
        <v>4</v>
      </c>
      <c r="BV274" s="29">
        <f t="shared" si="72"/>
        <v>240</v>
      </c>
      <c r="BW274" s="29">
        <f t="shared" si="73"/>
        <v>225.99999999999997</v>
      </c>
      <c r="BX274" s="29" t="s">
        <v>743</v>
      </c>
      <c r="BY274" s="29" t="s">
        <v>735</v>
      </c>
      <c r="BZ274" s="254"/>
      <c r="CA274" s="254"/>
      <c r="CB274" s="15"/>
      <c r="CC274" s="282"/>
      <c r="CD274" s="282"/>
      <c r="CE274" s="282"/>
      <c r="CF274" s="282"/>
      <c r="CG274" s="282"/>
      <c r="CH274" s="282"/>
      <c r="CI274" s="282"/>
      <c r="CJ274" s="282"/>
    </row>
    <row r="275" spans="1:88" s="283" customFormat="1" x14ac:dyDescent="0.25">
      <c r="A275" s="256">
        <v>41671</v>
      </c>
      <c r="B275" s="256"/>
      <c r="C275" s="161" t="s">
        <v>2401</v>
      </c>
      <c r="D275" s="238" t="s">
        <v>746</v>
      </c>
      <c r="E275" s="240" t="s">
        <v>697</v>
      </c>
      <c r="F275" s="284" t="s">
        <v>2402</v>
      </c>
      <c r="G275" s="223" t="s">
        <v>49</v>
      </c>
      <c r="H275" s="27" t="s">
        <v>2403</v>
      </c>
      <c r="I275" s="207"/>
      <c r="J275" s="27"/>
      <c r="K275" s="27"/>
      <c r="L275" s="240"/>
      <c r="M275" s="240"/>
      <c r="N275" s="240"/>
      <c r="O275" s="240"/>
      <c r="P275" s="240"/>
      <c r="Q275" s="240"/>
      <c r="R275" s="240"/>
      <c r="S275" s="240"/>
      <c r="T275" s="240"/>
      <c r="U275" s="275" t="s">
        <v>2404</v>
      </c>
      <c r="V275" s="275"/>
      <c r="W275" s="27"/>
      <c r="X275" s="275"/>
      <c r="Y275" s="27"/>
      <c r="Z275" s="275"/>
      <c r="AA275" s="27"/>
      <c r="AB275" s="275" t="s">
        <v>2405</v>
      </c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 t="s">
        <v>2406</v>
      </c>
      <c r="AM275" s="275" t="s">
        <v>2407</v>
      </c>
      <c r="AN275" s="275"/>
      <c r="AO275" s="275"/>
      <c r="AP275" s="275" t="s">
        <v>2408</v>
      </c>
      <c r="AQ275" s="275">
        <v>49017</v>
      </c>
      <c r="AR275" s="280">
        <v>17.75</v>
      </c>
      <c r="AS275" s="280"/>
      <c r="AT275" s="280"/>
      <c r="AU275" s="191"/>
      <c r="AV275" s="275"/>
      <c r="AW275" s="275"/>
      <c r="AX275" s="262" t="s">
        <v>2409</v>
      </c>
      <c r="AY275" s="262" t="s">
        <v>2410</v>
      </c>
      <c r="AZ275" s="262"/>
      <c r="BA275" s="262"/>
      <c r="BB275" s="262"/>
      <c r="BC275" s="262"/>
      <c r="BD275" s="262"/>
      <c r="BE275" s="262"/>
      <c r="BF275" s="153">
        <v>6.9660000000000002</v>
      </c>
      <c r="BG275" s="153">
        <v>6.9660000000000002</v>
      </c>
      <c r="BH275" s="153">
        <v>9.1920000000000002</v>
      </c>
      <c r="BI275" s="157">
        <f>(BH275*BG275*BF275)/1728</f>
        <v>0.25812687150000008</v>
      </c>
      <c r="BJ275" s="153">
        <v>0.4</v>
      </c>
      <c r="BK275" s="153">
        <v>22.12</v>
      </c>
      <c r="BL275" s="153">
        <v>10.119999999999999</v>
      </c>
      <c r="BM275" s="153">
        <v>10.37</v>
      </c>
      <c r="BN275" s="157">
        <f t="shared" si="71"/>
        <v>1.3433854907407408</v>
      </c>
      <c r="BO275" s="153">
        <f>BJ275*BS275+0.4</f>
        <v>1.6</v>
      </c>
      <c r="BP275" s="360"/>
      <c r="BQ275" s="360"/>
      <c r="BR275" s="161" t="s">
        <v>733</v>
      </c>
      <c r="BS275" s="161">
        <v>3</v>
      </c>
      <c r="BT275" s="161">
        <v>6</v>
      </c>
      <c r="BU275" s="161">
        <v>4</v>
      </c>
      <c r="BV275" s="29">
        <f t="shared" si="72"/>
        <v>72</v>
      </c>
      <c r="BW275" s="29">
        <f t="shared" si="73"/>
        <v>88.4</v>
      </c>
      <c r="BX275" s="161" t="s">
        <v>782</v>
      </c>
      <c r="BY275" s="29" t="s">
        <v>735</v>
      </c>
      <c r="BZ275" s="254"/>
      <c r="CA275" s="254"/>
      <c r="CB275" s="15"/>
      <c r="CC275" s="282"/>
      <c r="CD275" s="282"/>
      <c r="CE275" s="282"/>
      <c r="CF275" s="282"/>
      <c r="CG275" s="282"/>
      <c r="CH275" s="282"/>
      <c r="CI275" s="282"/>
      <c r="CJ275" s="282"/>
    </row>
    <row r="276" spans="1:88" s="283" customFormat="1" x14ac:dyDescent="0.25">
      <c r="A276" s="256">
        <v>41671</v>
      </c>
      <c r="B276" s="256"/>
      <c r="C276" s="161" t="s">
        <v>2411</v>
      </c>
      <c r="D276" s="238" t="s">
        <v>746</v>
      </c>
      <c r="E276" s="240" t="s">
        <v>697</v>
      </c>
      <c r="F276" s="284" t="s">
        <v>2412</v>
      </c>
      <c r="G276" s="223" t="s">
        <v>903</v>
      </c>
      <c r="H276" s="27" t="s">
        <v>2413</v>
      </c>
      <c r="I276" s="207"/>
      <c r="J276" s="27"/>
      <c r="K276" s="27"/>
      <c r="L276" s="240"/>
      <c r="M276" s="240"/>
      <c r="N276" s="240"/>
      <c r="O276" s="240"/>
      <c r="P276" s="240"/>
      <c r="Q276" s="240"/>
      <c r="R276" s="240"/>
      <c r="S276" s="240"/>
      <c r="T276" s="240"/>
      <c r="U276" s="275"/>
      <c r="V276" s="275"/>
      <c r="W276" s="27">
        <v>83022</v>
      </c>
      <c r="X276" s="275"/>
      <c r="Y276" s="27"/>
      <c r="Z276" s="275"/>
      <c r="AA276" s="27"/>
      <c r="AB276" s="275" t="s">
        <v>2414</v>
      </c>
      <c r="AC276" s="275"/>
      <c r="AD276" s="275"/>
      <c r="AE276" s="275" t="s">
        <v>2415</v>
      </c>
      <c r="AF276" s="275"/>
      <c r="AG276" s="275"/>
      <c r="AH276" s="275"/>
      <c r="AI276" s="275"/>
      <c r="AJ276" s="275"/>
      <c r="AK276" s="275"/>
      <c r="AL276" s="275" t="s">
        <v>2416</v>
      </c>
      <c r="AM276" s="275" t="s">
        <v>2417</v>
      </c>
      <c r="AN276" s="275" t="s">
        <v>2418</v>
      </c>
      <c r="AO276" s="275"/>
      <c r="AP276" s="275" t="s">
        <v>2419</v>
      </c>
      <c r="AQ276" s="275">
        <v>49022</v>
      </c>
      <c r="AR276" s="280">
        <v>10.6</v>
      </c>
      <c r="AS276" s="280"/>
      <c r="AT276" s="280"/>
      <c r="AU276" s="191"/>
      <c r="AV276" s="275"/>
      <c r="AW276" s="275"/>
      <c r="AX276" s="262" t="s">
        <v>2420</v>
      </c>
      <c r="AY276" s="262" t="s">
        <v>2421</v>
      </c>
      <c r="AZ276" s="262"/>
      <c r="BA276" s="262"/>
      <c r="BB276" s="262"/>
      <c r="BC276" s="262"/>
      <c r="BD276" s="262"/>
      <c r="BE276" s="262"/>
      <c r="BF276" s="235">
        <v>7.0359999999999996</v>
      </c>
      <c r="BG276" s="235">
        <v>2.536</v>
      </c>
      <c r="BH276" s="235">
        <v>11.821999999999999</v>
      </c>
      <c r="BI276" s="157">
        <f>(BH276*BG276*BF276)/1728</f>
        <v>0.12207375307407406</v>
      </c>
      <c r="BJ276" s="153">
        <v>0.55000000000000004</v>
      </c>
      <c r="BK276" s="153">
        <v>12.25</v>
      </c>
      <c r="BL276" s="153">
        <v>7.5</v>
      </c>
      <c r="BM276" s="153">
        <v>8.5</v>
      </c>
      <c r="BN276" s="157">
        <f t="shared" si="71"/>
        <v>0.4519314236111111</v>
      </c>
      <c r="BO276" s="235">
        <f>BJ276*BS276+0.25</f>
        <v>1.9000000000000001</v>
      </c>
      <c r="BP276" s="365"/>
      <c r="BQ276" s="365"/>
      <c r="BR276" s="228" t="s">
        <v>733</v>
      </c>
      <c r="BS276" s="228">
        <v>3</v>
      </c>
      <c r="BT276" s="228">
        <v>20</v>
      </c>
      <c r="BU276" s="228">
        <v>5</v>
      </c>
      <c r="BV276" s="29">
        <f t="shared" si="72"/>
        <v>300</v>
      </c>
      <c r="BW276" s="29">
        <f t="shared" si="73"/>
        <v>240</v>
      </c>
      <c r="BX276" s="161" t="s">
        <v>955</v>
      </c>
      <c r="BY276" s="29" t="s">
        <v>735</v>
      </c>
      <c r="BZ276" s="254"/>
      <c r="CA276" s="254"/>
      <c r="CB276" s="15"/>
      <c r="CC276" s="282"/>
      <c r="CD276" s="282"/>
      <c r="CE276" s="282"/>
      <c r="CF276" s="282"/>
      <c r="CG276" s="282"/>
      <c r="CH276" s="282"/>
      <c r="CI276" s="282"/>
      <c r="CJ276" s="282"/>
    </row>
    <row r="277" spans="1:88" s="283" customFormat="1" x14ac:dyDescent="0.25">
      <c r="A277" s="256">
        <v>41671</v>
      </c>
      <c r="B277" s="256"/>
      <c r="C277" s="161" t="s">
        <v>2422</v>
      </c>
      <c r="D277" s="238" t="s">
        <v>746</v>
      </c>
      <c r="E277" s="240" t="s">
        <v>2423</v>
      </c>
      <c r="F277" s="284" t="s">
        <v>2424</v>
      </c>
      <c r="G277" s="223" t="s">
        <v>2425</v>
      </c>
      <c r="H277" s="27" t="s">
        <v>2426</v>
      </c>
      <c r="I277" s="207" t="s">
        <v>2427</v>
      </c>
      <c r="J277" s="27"/>
      <c r="K277" s="27"/>
      <c r="L277" s="240"/>
      <c r="M277" s="240"/>
      <c r="N277" s="240"/>
      <c r="O277" s="240"/>
      <c r="P277" s="240"/>
      <c r="Q277" s="240"/>
      <c r="R277" s="240"/>
      <c r="S277" s="240"/>
      <c r="T277" s="240"/>
      <c r="U277" s="275" t="s">
        <v>2428</v>
      </c>
      <c r="V277" s="275"/>
      <c r="W277" s="27"/>
      <c r="X277" s="275"/>
      <c r="Y277" s="27"/>
      <c r="Z277" s="275"/>
      <c r="AA277" s="27"/>
      <c r="AB277" s="275" t="s">
        <v>2429</v>
      </c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 t="s">
        <v>2430</v>
      </c>
      <c r="AM277" s="275" t="s">
        <v>2430</v>
      </c>
      <c r="AN277" s="275" t="s">
        <v>2422</v>
      </c>
      <c r="AO277" s="275"/>
      <c r="AP277" s="275" t="s">
        <v>2431</v>
      </c>
      <c r="AQ277" s="275">
        <v>49359</v>
      </c>
      <c r="AR277" s="280">
        <v>32.1</v>
      </c>
      <c r="AS277" s="280"/>
      <c r="AT277" s="280"/>
      <c r="AU277" s="191"/>
      <c r="AV277" s="275"/>
      <c r="AW277" s="275"/>
      <c r="AX277" s="262" t="s">
        <v>2432</v>
      </c>
      <c r="AY277" s="262" t="s">
        <v>2433</v>
      </c>
      <c r="AZ277" s="262"/>
      <c r="BA277" s="262"/>
      <c r="BB277" s="262"/>
      <c r="BC277" s="262"/>
      <c r="BD277" s="262"/>
      <c r="BE277" s="262"/>
      <c r="BF277" s="451" t="s">
        <v>1509</v>
      </c>
      <c r="BG277" s="455"/>
      <c r="BH277" s="455"/>
      <c r="BI277" s="455"/>
      <c r="BJ277" s="455"/>
      <c r="BK277" s="153">
        <v>11.87</v>
      </c>
      <c r="BL277" s="153">
        <v>9</v>
      </c>
      <c r="BM277" s="153">
        <v>9</v>
      </c>
      <c r="BN277" s="157">
        <f t="shared" si="71"/>
        <v>0.55640624999999999</v>
      </c>
      <c r="BO277" s="153">
        <v>1.9</v>
      </c>
      <c r="BP277" s="360"/>
      <c r="BQ277" s="360"/>
      <c r="BR277" s="161" t="s">
        <v>733</v>
      </c>
      <c r="BS277" s="161">
        <v>6</v>
      </c>
      <c r="BT277" s="161">
        <v>17</v>
      </c>
      <c r="BU277" s="161">
        <v>5</v>
      </c>
      <c r="BV277" s="29">
        <f t="shared" si="72"/>
        <v>510</v>
      </c>
      <c r="BW277" s="29">
        <f t="shared" si="73"/>
        <v>211.5</v>
      </c>
      <c r="BX277" s="29" t="s">
        <v>743</v>
      </c>
      <c r="BY277" s="29" t="s">
        <v>735</v>
      </c>
      <c r="BZ277" s="254"/>
      <c r="CA277" s="254"/>
      <c r="CB277" s="15"/>
      <c r="CC277" s="282"/>
      <c r="CD277" s="282"/>
      <c r="CE277" s="282"/>
      <c r="CF277" s="282"/>
      <c r="CG277" s="282"/>
      <c r="CH277" s="282"/>
      <c r="CI277" s="282"/>
      <c r="CJ277" s="282"/>
    </row>
    <row r="278" spans="1:88" s="283" customFormat="1" x14ac:dyDescent="0.25">
      <c r="A278" s="256">
        <v>41671</v>
      </c>
      <c r="B278" s="256"/>
      <c r="C278" s="161" t="s">
        <v>2434</v>
      </c>
      <c r="D278" s="238" t="s">
        <v>746</v>
      </c>
      <c r="E278" s="240" t="s">
        <v>2423</v>
      </c>
      <c r="F278" s="284" t="s">
        <v>2435</v>
      </c>
      <c r="G278" s="223" t="s">
        <v>2425</v>
      </c>
      <c r="H278" s="27" t="s">
        <v>2436</v>
      </c>
      <c r="I278" s="207"/>
      <c r="J278" s="27"/>
      <c r="K278" s="27"/>
      <c r="L278" s="240"/>
      <c r="M278" s="240"/>
      <c r="N278" s="240"/>
      <c r="O278" s="240"/>
      <c r="P278" s="240"/>
      <c r="Q278" s="240"/>
      <c r="R278" s="240"/>
      <c r="S278" s="240"/>
      <c r="T278" s="240"/>
      <c r="U278" s="275"/>
      <c r="V278" s="275"/>
      <c r="W278" s="27"/>
      <c r="X278" s="275"/>
      <c r="Y278" s="27"/>
      <c r="Z278" s="275"/>
      <c r="AA278" s="27"/>
      <c r="AB278" s="275"/>
      <c r="AC278" s="275"/>
      <c r="AD278" s="275"/>
      <c r="AE278" s="275"/>
      <c r="AF278" s="275"/>
      <c r="AG278" s="275"/>
      <c r="AH278" s="275"/>
      <c r="AI278" s="275"/>
      <c r="AJ278" s="275"/>
      <c r="AK278" s="275"/>
      <c r="AL278" s="275" t="s">
        <v>2437</v>
      </c>
      <c r="AM278" s="275" t="s">
        <v>2437</v>
      </c>
      <c r="AN278" s="275" t="s">
        <v>2434</v>
      </c>
      <c r="AO278" s="275"/>
      <c r="AP278" s="275" t="s">
        <v>2438</v>
      </c>
      <c r="AQ278" s="275">
        <v>24030</v>
      </c>
      <c r="AR278" s="280">
        <v>13.9</v>
      </c>
      <c r="AS278" s="280"/>
      <c r="AT278" s="280"/>
      <c r="AU278" s="191"/>
      <c r="AV278" s="275"/>
      <c r="AW278" s="275"/>
      <c r="AX278" s="262" t="s">
        <v>2439</v>
      </c>
      <c r="AY278" s="262" t="s">
        <v>2440</v>
      </c>
      <c r="AZ278" s="262"/>
      <c r="BA278" s="262"/>
      <c r="BB278" s="262"/>
      <c r="BC278" s="262"/>
      <c r="BD278" s="262"/>
      <c r="BE278" s="262"/>
      <c r="BF278" s="451" t="s">
        <v>1509</v>
      </c>
      <c r="BG278" s="455"/>
      <c r="BH278" s="455"/>
      <c r="BI278" s="455"/>
      <c r="BJ278" s="455"/>
      <c r="BK278" s="153">
        <v>14.87</v>
      </c>
      <c r="BL278" s="153">
        <v>10</v>
      </c>
      <c r="BM278" s="153">
        <v>10.5</v>
      </c>
      <c r="BN278" s="157">
        <f t="shared" si="71"/>
        <v>0.90355902777777775</v>
      </c>
      <c r="BO278" s="153">
        <f>0.25*6*0.4</f>
        <v>0.60000000000000009</v>
      </c>
      <c r="BP278" s="360"/>
      <c r="BQ278" s="360"/>
      <c r="BR278" s="161" t="s">
        <v>733</v>
      </c>
      <c r="BS278" s="161">
        <v>6</v>
      </c>
      <c r="BT278" s="161">
        <v>12</v>
      </c>
      <c r="BU278" s="161">
        <v>4</v>
      </c>
      <c r="BV278" s="29">
        <f t="shared" si="72"/>
        <v>288</v>
      </c>
      <c r="BW278" s="29">
        <f t="shared" si="73"/>
        <v>78.800000000000011</v>
      </c>
      <c r="BX278" s="29" t="s">
        <v>743</v>
      </c>
      <c r="BY278" s="29" t="s">
        <v>735</v>
      </c>
      <c r="BZ278" s="254"/>
      <c r="CA278" s="254"/>
      <c r="CB278" s="15"/>
      <c r="CC278" s="282"/>
      <c r="CD278" s="282"/>
      <c r="CE278" s="282"/>
      <c r="CF278" s="282"/>
      <c r="CG278" s="282"/>
      <c r="CH278" s="282"/>
      <c r="CI278" s="282"/>
      <c r="CJ278" s="282"/>
    </row>
    <row r="279" spans="1:88" s="283" customFormat="1" x14ac:dyDescent="0.25">
      <c r="A279" s="256">
        <v>41671</v>
      </c>
      <c r="B279" s="256"/>
      <c r="C279" s="161" t="s">
        <v>2441</v>
      </c>
      <c r="D279" s="238" t="s">
        <v>746</v>
      </c>
      <c r="E279" s="240" t="s">
        <v>2423</v>
      </c>
      <c r="F279" s="284" t="s">
        <v>2442</v>
      </c>
      <c r="G279" s="223" t="s">
        <v>927</v>
      </c>
      <c r="H279" s="27" t="s">
        <v>2443</v>
      </c>
      <c r="I279" s="207"/>
      <c r="J279" s="27"/>
      <c r="K279" s="27"/>
      <c r="L279" s="240"/>
      <c r="M279" s="240"/>
      <c r="N279" s="240"/>
      <c r="O279" s="240"/>
      <c r="P279" s="240"/>
      <c r="Q279" s="240"/>
      <c r="R279" s="240"/>
      <c r="S279" s="240"/>
      <c r="T279" s="240"/>
      <c r="U279" s="275"/>
      <c r="V279" s="275"/>
      <c r="W279" s="27"/>
      <c r="X279" s="275"/>
      <c r="Y279" s="27"/>
      <c r="Z279" s="275"/>
      <c r="AA279" s="27"/>
      <c r="AB279" s="275" t="s">
        <v>2444</v>
      </c>
      <c r="AC279" s="275"/>
      <c r="AD279" s="275"/>
      <c r="AE279" s="275"/>
      <c r="AF279" s="275"/>
      <c r="AG279" s="275"/>
      <c r="AH279" s="275"/>
      <c r="AI279" s="275"/>
      <c r="AJ279" s="275"/>
      <c r="AK279" s="275"/>
      <c r="AL279" s="275" t="s">
        <v>2445</v>
      </c>
      <c r="AM279" s="275" t="s">
        <v>2445</v>
      </c>
      <c r="AN279" s="275" t="s">
        <v>2441</v>
      </c>
      <c r="AO279" s="275"/>
      <c r="AP279" s="275" t="s">
        <v>2446</v>
      </c>
      <c r="AQ279" s="275">
        <v>24148</v>
      </c>
      <c r="AR279" s="280">
        <v>15.92</v>
      </c>
      <c r="AS279" s="280"/>
      <c r="AT279" s="280"/>
      <c r="AU279" s="191"/>
      <c r="AV279" s="275"/>
      <c r="AW279" s="275"/>
      <c r="AX279" s="262" t="s">
        <v>2447</v>
      </c>
      <c r="AY279" s="262" t="s">
        <v>2448</v>
      </c>
      <c r="AZ279" s="262"/>
      <c r="BA279" s="262"/>
      <c r="BB279" s="262"/>
      <c r="BC279" s="262"/>
      <c r="BD279" s="262"/>
      <c r="BE279" s="262"/>
      <c r="BF279" s="451" t="s">
        <v>1509</v>
      </c>
      <c r="BG279" s="455"/>
      <c r="BH279" s="455"/>
      <c r="BI279" s="455"/>
      <c r="BJ279" s="455"/>
      <c r="BK279" s="153">
        <v>9.75</v>
      </c>
      <c r="BL279" s="153">
        <v>8.18</v>
      </c>
      <c r="BM279" s="153">
        <v>8.5</v>
      </c>
      <c r="BN279" s="157">
        <f t="shared" si="71"/>
        <v>0.39231336805555556</v>
      </c>
      <c r="BO279" s="153">
        <f>0.11*6+0.4</f>
        <v>1.06</v>
      </c>
      <c r="BP279" s="360"/>
      <c r="BQ279" s="360"/>
      <c r="BR279" s="161" t="s">
        <v>733</v>
      </c>
      <c r="BS279" s="161">
        <v>6</v>
      </c>
      <c r="BT279" s="161">
        <v>20</v>
      </c>
      <c r="BU279" s="161">
        <v>5</v>
      </c>
      <c r="BV279" s="29">
        <f t="shared" si="72"/>
        <v>600</v>
      </c>
      <c r="BW279" s="29">
        <f t="shared" si="73"/>
        <v>156</v>
      </c>
      <c r="BX279" s="29" t="s">
        <v>743</v>
      </c>
      <c r="BY279" s="29" t="s">
        <v>735</v>
      </c>
      <c r="BZ279" s="254"/>
      <c r="CA279" s="254"/>
      <c r="CB279" s="15"/>
      <c r="CC279" s="282"/>
      <c r="CD279" s="282"/>
      <c r="CE279" s="282"/>
      <c r="CF279" s="282"/>
      <c r="CG279" s="282"/>
      <c r="CH279" s="282"/>
      <c r="CI279" s="282"/>
      <c r="CJ279" s="282"/>
    </row>
    <row r="280" spans="1:88" s="283" customFormat="1" x14ac:dyDescent="0.25">
      <c r="A280" s="256">
        <v>41671</v>
      </c>
      <c r="B280" s="256"/>
      <c r="C280" s="161" t="s">
        <v>2449</v>
      </c>
      <c r="D280" s="238" t="s">
        <v>746</v>
      </c>
      <c r="E280" s="240" t="s">
        <v>2423</v>
      </c>
      <c r="F280" s="284" t="s">
        <v>2450</v>
      </c>
      <c r="G280" s="223" t="s">
        <v>967</v>
      </c>
      <c r="H280" s="27" t="s">
        <v>2451</v>
      </c>
      <c r="I280" s="207"/>
      <c r="J280" s="27"/>
      <c r="K280" s="27"/>
      <c r="L280" s="240"/>
      <c r="M280" s="240"/>
      <c r="N280" s="240"/>
      <c r="O280" s="240"/>
      <c r="P280" s="240"/>
      <c r="Q280" s="240"/>
      <c r="R280" s="240"/>
      <c r="S280" s="240"/>
      <c r="T280" s="240"/>
      <c r="U280" s="275" t="s">
        <v>2452</v>
      </c>
      <c r="V280" s="275"/>
      <c r="W280" s="27"/>
      <c r="X280" s="275"/>
      <c r="Y280" s="27"/>
      <c r="Z280" s="275"/>
      <c r="AA280" s="27"/>
      <c r="AB280" s="275" t="s">
        <v>2453</v>
      </c>
      <c r="AC280" s="275"/>
      <c r="AD280" s="275"/>
      <c r="AE280" s="275"/>
      <c r="AF280" s="275"/>
      <c r="AG280" s="275"/>
      <c r="AH280" s="275"/>
      <c r="AI280" s="275"/>
      <c r="AJ280" s="275"/>
      <c r="AK280" s="275"/>
      <c r="AL280" s="275" t="s">
        <v>2454</v>
      </c>
      <c r="AM280" s="275"/>
      <c r="AN280" s="275"/>
      <c r="AO280" s="275"/>
      <c r="AP280" s="275" t="s">
        <v>2455</v>
      </c>
      <c r="AQ280" s="275"/>
      <c r="AR280" s="280">
        <v>19.64</v>
      </c>
      <c r="AS280" s="280"/>
      <c r="AT280" s="280"/>
      <c r="AU280" s="191"/>
      <c r="AV280" s="275"/>
      <c r="AW280" s="275"/>
      <c r="AX280" s="262" t="s">
        <v>2456</v>
      </c>
      <c r="AY280" s="262" t="s">
        <v>2457</v>
      </c>
      <c r="AZ280" s="262"/>
      <c r="BA280" s="262"/>
      <c r="BB280" s="262"/>
      <c r="BC280" s="262"/>
      <c r="BD280" s="262"/>
      <c r="BE280" s="262"/>
      <c r="BF280" s="451" t="s">
        <v>1509</v>
      </c>
      <c r="BG280" s="455"/>
      <c r="BH280" s="455"/>
      <c r="BI280" s="455"/>
      <c r="BJ280" s="455"/>
      <c r="BK280" s="153">
        <v>12</v>
      </c>
      <c r="BL280" s="153">
        <v>10.37</v>
      </c>
      <c r="BM280" s="153">
        <v>10.62</v>
      </c>
      <c r="BN280" s="157">
        <f t="shared" si="71"/>
        <v>0.76478749999999995</v>
      </c>
      <c r="BO280" s="235">
        <v>1.75</v>
      </c>
      <c r="BP280" s="365"/>
      <c r="BQ280" s="365"/>
      <c r="BR280" s="228" t="s">
        <v>733</v>
      </c>
      <c r="BS280" s="228">
        <v>6</v>
      </c>
      <c r="BT280" s="228">
        <v>12</v>
      </c>
      <c r="BU280" s="228">
        <v>4</v>
      </c>
      <c r="BV280" s="29">
        <f t="shared" si="72"/>
        <v>288</v>
      </c>
      <c r="BW280" s="29">
        <f t="shared" si="73"/>
        <v>134</v>
      </c>
      <c r="BX280" s="228" t="s">
        <v>890</v>
      </c>
      <c r="BY280" s="29" t="s">
        <v>735</v>
      </c>
      <c r="BZ280" s="254"/>
      <c r="CA280" s="254"/>
      <c r="CB280" s="15"/>
      <c r="CC280" s="282"/>
      <c r="CD280" s="282"/>
      <c r="CE280" s="282"/>
      <c r="CF280" s="282"/>
      <c r="CG280" s="282"/>
      <c r="CH280" s="282"/>
      <c r="CI280" s="282"/>
      <c r="CJ280" s="282"/>
    </row>
    <row r="281" spans="1:88" s="283" customFormat="1" ht="30" x14ac:dyDescent="0.25">
      <c r="A281" s="256">
        <v>41640</v>
      </c>
      <c r="B281" s="256"/>
      <c r="C281" s="228" t="s">
        <v>2458</v>
      </c>
      <c r="D281" s="238" t="s">
        <v>60</v>
      </c>
      <c r="E281" s="240" t="s">
        <v>698</v>
      </c>
      <c r="F281" s="284" t="s">
        <v>2459</v>
      </c>
      <c r="G281" s="223" t="s">
        <v>2460</v>
      </c>
      <c r="H281" s="27" t="s">
        <v>2461</v>
      </c>
      <c r="I281" s="27" t="s">
        <v>2462</v>
      </c>
      <c r="J281" s="27">
        <v>28040481</v>
      </c>
      <c r="K281" s="27" t="s">
        <v>2463</v>
      </c>
      <c r="L281" s="28" t="s">
        <v>2464</v>
      </c>
      <c r="M281" s="253"/>
      <c r="N281" s="253"/>
      <c r="O281" s="253"/>
      <c r="P281" s="253"/>
      <c r="Q281" s="240"/>
      <c r="R281" s="240"/>
      <c r="S281" s="240"/>
      <c r="T281" s="240"/>
      <c r="U281" s="261"/>
      <c r="V281" s="261"/>
      <c r="W281" s="261"/>
      <c r="X281" s="261"/>
      <c r="Y281" s="27" t="s">
        <v>2465</v>
      </c>
      <c r="Z281" s="261"/>
      <c r="AA281" s="27" t="s">
        <v>2466</v>
      </c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61"/>
      <c r="AL281" s="261"/>
      <c r="AM281" s="284"/>
      <c r="AN281" s="261"/>
      <c r="AO281" s="261"/>
      <c r="AP281" s="261"/>
      <c r="AQ281" s="261"/>
      <c r="AR281" s="286">
        <v>9.7799999999999994</v>
      </c>
      <c r="AS281" s="286">
        <v>0.5</v>
      </c>
      <c r="AT281" s="286">
        <v>0.55000000000000004</v>
      </c>
      <c r="AU281" s="286">
        <v>0.4</v>
      </c>
      <c r="AV281" s="261"/>
      <c r="AW281" s="261"/>
      <c r="AX281" s="262">
        <v>38568737922</v>
      </c>
      <c r="AY281" s="264">
        <v>10038568737929</v>
      </c>
      <c r="AZ281" s="264"/>
      <c r="BA281" s="264"/>
      <c r="BB281" s="264"/>
      <c r="BC281" s="264"/>
      <c r="BD281" s="264"/>
      <c r="BE281" s="264"/>
      <c r="BF281" s="463" t="s">
        <v>2467</v>
      </c>
      <c r="BG281" s="463"/>
      <c r="BH281" s="463"/>
      <c r="BI281" s="463"/>
      <c r="BJ281" s="463"/>
      <c r="BK281" s="287">
        <v>15.81</v>
      </c>
      <c r="BL281" s="287">
        <v>11.93</v>
      </c>
      <c r="BM281" s="287">
        <v>29.5</v>
      </c>
      <c r="BN281" s="157">
        <f>(BM281*BL281*BK281)/1728</f>
        <v>3.2199608506944446</v>
      </c>
      <c r="BO281" s="281">
        <f>1.2*12+0.4</f>
        <v>14.799999999999999</v>
      </c>
      <c r="BP281" s="281"/>
      <c r="BQ281" s="281"/>
      <c r="BR281" s="228" t="s">
        <v>733</v>
      </c>
      <c r="BS281" s="228">
        <v>12</v>
      </c>
      <c r="BT281" s="228">
        <v>10</v>
      </c>
      <c r="BU281" s="228">
        <v>7</v>
      </c>
      <c r="BV281" s="29">
        <f>BS281*BT281*BU281</f>
        <v>840</v>
      </c>
      <c r="BW281" s="29">
        <f>(BO281*BT281*BU281)+50</f>
        <v>1086</v>
      </c>
      <c r="BX281" s="29" t="s">
        <v>890</v>
      </c>
      <c r="BY281" s="29" t="s">
        <v>735</v>
      </c>
      <c r="BZ281" s="254">
        <v>73</v>
      </c>
      <c r="CA281" s="254"/>
      <c r="CB281" s="254"/>
      <c r="CC281" s="15"/>
      <c r="CD281" s="15"/>
      <c r="CE281" s="282"/>
      <c r="CF281" s="282"/>
      <c r="CG281" s="282"/>
      <c r="CH281" s="282"/>
      <c r="CI281" s="282"/>
      <c r="CJ281" s="282"/>
    </row>
    <row r="282" spans="1:88" s="283" customFormat="1" ht="90" x14ac:dyDescent="0.25">
      <c r="A282" s="256">
        <v>41640</v>
      </c>
      <c r="B282" s="256"/>
      <c r="C282" s="211" t="s">
        <v>2468</v>
      </c>
      <c r="D282" s="211" t="s">
        <v>60</v>
      </c>
      <c r="E282" s="288" t="s">
        <v>2469</v>
      </c>
      <c r="F282" s="211" t="s">
        <v>2470</v>
      </c>
      <c r="G282" s="223" t="s">
        <v>2471</v>
      </c>
      <c r="H282" s="27" t="s">
        <v>2472</v>
      </c>
      <c r="I282" s="27" t="s">
        <v>984</v>
      </c>
      <c r="J282" s="27" t="s">
        <v>2473</v>
      </c>
      <c r="K282" s="27" t="s">
        <v>1588</v>
      </c>
      <c r="L282" s="28" t="s">
        <v>2474</v>
      </c>
      <c r="M282" s="27" t="s">
        <v>2475</v>
      </c>
      <c r="N282" s="28" t="s">
        <v>2476</v>
      </c>
      <c r="O282" s="27" t="s">
        <v>1355</v>
      </c>
      <c r="P282" s="27" t="s">
        <v>2477</v>
      </c>
      <c r="Q282" s="240"/>
      <c r="R282" s="240"/>
      <c r="S282" s="240"/>
      <c r="T282" s="240"/>
      <c r="U282" s="241" t="s">
        <v>2478</v>
      </c>
      <c r="V282" s="241"/>
      <c r="W282" s="27" t="s">
        <v>2479</v>
      </c>
      <c r="X282" s="241"/>
      <c r="Y282" s="27" t="s">
        <v>2480</v>
      </c>
      <c r="Z282" s="241"/>
      <c r="AA282" s="27" t="s">
        <v>2481</v>
      </c>
      <c r="AB282" s="241"/>
      <c r="AC282" s="241"/>
      <c r="AD282" s="27" t="s">
        <v>2482</v>
      </c>
      <c r="AE282" s="241"/>
      <c r="AF282" s="241"/>
      <c r="AG282" s="241"/>
      <c r="AH282" s="241"/>
      <c r="AI282" s="241"/>
      <c r="AJ282" s="241"/>
      <c r="AK282" s="241">
        <v>9978</v>
      </c>
      <c r="AL282" s="223"/>
      <c r="AM282" s="284"/>
      <c r="AN282" s="223"/>
      <c r="AO282" s="223"/>
      <c r="AP282" s="223"/>
      <c r="AQ282" s="27" t="s">
        <v>2483</v>
      </c>
      <c r="AR282" s="289">
        <v>24.29</v>
      </c>
      <c r="AS282" s="286"/>
      <c r="AT282" s="240"/>
      <c r="AU282" s="240"/>
      <c r="AV282" s="27"/>
      <c r="AW282" s="27"/>
      <c r="AX282" s="262" t="s">
        <v>2484</v>
      </c>
      <c r="AY282" s="264">
        <v>100038568737899</v>
      </c>
      <c r="AZ282" s="264"/>
      <c r="BA282" s="264"/>
      <c r="BB282" s="264"/>
      <c r="BC282" s="264"/>
      <c r="BD282" s="264"/>
      <c r="BE282" s="264"/>
      <c r="BF282" s="459" t="s">
        <v>2485</v>
      </c>
      <c r="BG282" s="459"/>
      <c r="BH282" s="459"/>
      <c r="BI282" s="459"/>
      <c r="BJ282" s="459"/>
      <c r="BK282" s="287">
        <v>5.2359999999999998</v>
      </c>
      <c r="BL282" s="287">
        <v>5.2359999999999998</v>
      </c>
      <c r="BM282" s="287">
        <v>10.590999999999999</v>
      </c>
      <c r="BN282" s="108">
        <f>(BM282*BL282*BK282)/1728</f>
        <v>0.16803219695370367</v>
      </c>
      <c r="BO282" s="281">
        <f>1.1+0.25</f>
        <v>1.35</v>
      </c>
      <c r="BP282" s="281"/>
      <c r="BQ282" s="281"/>
      <c r="BR282" s="228" t="s">
        <v>733</v>
      </c>
      <c r="BS282" s="228">
        <v>1</v>
      </c>
      <c r="BT282" s="228">
        <v>56</v>
      </c>
      <c r="BU282" s="228">
        <v>4</v>
      </c>
      <c r="BV282" s="29">
        <f>BS282*BT282*BU282</f>
        <v>224</v>
      </c>
      <c r="BW282" s="29">
        <f>(BO282*BV282)+50</f>
        <v>352.40000000000003</v>
      </c>
      <c r="BX282" s="29" t="s">
        <v>2486</v>
      </c>
      <c r="BY282" s="29" t="s">
        <v>735</v>
      </c>
      <c r="BZ282" s="15">
        <v>73</v>
      </c>
      <c r="CA282" s="1"/>
      <c r="CB282" s="1"/>
      <c r="CC282" s="1"/>
      <c r="CD282" s="1"/>
      <c r="CE282" s="282"/>
      <c r="CF282" s="282"/>
      <c r="CG282" s="282"/>
      <c r="CH282" s="282"/>
      <c r="CI282" s="282"/>
      <c r="CJ282" s="282"/>
    </row>
    <row r="283" spans="1:88" s="283" customFormat="1" ht="30" customHeight="1" x14ac:dyDescent="0.25">
      <c r="A283" s="256">
        <v>41609</v>
      </c>
      <c r="B283" s="256"/>
      <c r="C283" s="161" t="s">
        <v>2487</v>
      </c>
      <c r="D283" s="161" t="s">
        <v>60</v>
      </c>
      <c r="E283" s="161" t="s">
        <v>2488</v>
      </c>
      <c r="F283" s="250" t="s">
        <v>2489</v>
      </c>
      <c r="G283" s="250" t="s">
        <v>1505</v>
      </c>
      <c r="H283" s="251" t="s">
        <v>2490</v>
      </c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84"/>
      <c r="AN283" s="240"/>
      <c r="AO283" s="240"/>
      <c r="AP283" s="240"/>
      <c r="AQ283" s="240"/>
      <c r="AR283" s="286">
        <v>43.1</v>
      </c>
      <c r="AS283" s="286"/>
      <c r="AT283" s="286"/>
      <c r="AU283" s="286"/>
      <c r="AV283" s="240"/>
      <c r="AW283" s="240"/>
      <c r="AX283" s="262" t="s">
        <v>2491</v>
      </c>
      <c r="AY283" s="264">
        <v>10038568739398</v>
      </c>
      <c r="AZ283" s="264"/>
      <c r="BA283" s="264"/>
      <c r="BB283" s="264"/>
      <c r="BC283" s="264"/>
      <c r="BD283" s="264"/>
      <c r="BE283" s="264"/>
      <c r="BF283" s="459" t="s">
        <v>2485</v>
      </c>
      <c r="BG283" s="459"/>
      <c r="BH283" s="459"/>
      <c r="BI283" s="459"/>
      <c r="BJ283" s="459"/>
      <c r="BK283" s="228">
        <v>11.75</v>
      </c>
      <c r="BL283" s="228">
        <v>4.75</v>
      </c>
      <c r="BM283" s="228">
        <v>5</v>
      </c>
      <c r="BN283" s="108">
        <f>(BM283*BL283*BK283)/1728</f>
        <v>0.16149450231481483</v>
      </c>
      <c r="BO283" s="161">
        <f>0.5+1.5+0.58+0.25</f>
        <v>2.83</v>
      </c>
      <c r="BP283" s="161"/>
      <c r="BQ283" s="161"/>
      <c r="BR283" s="228" t="s">
        <v>733</v>
      </c>
      <c r="BS283" s="228">
        <v>1</v>
      </c>
      <c r="BT283" s="228">
        <v>28</v>
      </c>
      <c r="BU283" s="228">
        <v>9</v>
      </c>
      <c r="BV283" s="29">
        <f>BS283*BT283*BU283</f>
        <v>252</v>
      </c>
      <c r="BW283" s="29">
        <f>(BO283*BV283)+50</f>
        <v>763.16</v>
      </c>
      <c r="BX283" s="29" t="s">
        <v>890</v>
      </c>
      <c r="BY283" s="29" t="s">
        <v>735</v>
      </c>
      <c r="BZ283" s="15"/>
      <c r="CA283" s="15"/>
      <c r="CB283" s="15"/>
      <c r="CC283" s="282"/>
      <c r="CD283" s="282"/>
      <c r="CE283" s="282"/>
      <c r="CF283" s="282"/>
      <c r="CG283" s="282"/>
      <c r="CH283" s="282"/>
      <c r="CI283" s="282"/>
      <c r="CJ283" s="282"/>
    </row>
    <row r="284" spans="1:88" s="283" customFormat="1" x14ac:dyDescent="0.25">
      <c r="A284" s="256">
        <v>41609</v>
      </c>
      <c r="B284" s="256"/>
      <c r="C284" s="250" t="s">
        <v>2492</v>
      </c>
      <c r="D284" s="250" t="s">
        <v>60</v>
      </c>
      <c r="E284" s="250" t="s">
        <v>2493</v>
      </c>
      <c r="F284" s="250" t="s">
        <v>2494</v>
      </c>
      <c r="G284" s="250" t="s">
        <v>1505</v>
      </c>
      <c r="H284" s="251" t="s">
        <v>2495</v>
      </c>
      <c r="I284" s="240" t="s">
        <v>1482</v>
      </c>
      <c r="J284" s="240" t="s">
        <v>2496</v>
      </c>
      <c r="K284" s="240" t="s">
        <v>1355</v>
      </c>
      <c r="L284" s="240">
        <v>85104856</v>
      </c>
      <c r="M284" s="240"/>
      <c r="N284" s="240"/>
      <c r="O284" s="240"/>
      <c r="P284" s="240"/>
      <c r="Q284" s="240"/>
      <c r="R284" s="240"/>
      <c r="S284" s="240"/>
      <c r="T284" s="240"/>
      <c r="U284" s="240" t="s">
        <v>2497</v>
      </c>
      <c r="V284" s="240"/>
      <c r="W284" s="240">
        <v>86938</v>
      </c>
      <c r="X284" s="240"/>
      <c r="Y284" s="240"/>
      <c r="Z284" s="240"/>
      <c r="AA284" s="240" t="s">
        <v>2498</v>
      </c>
      <c r="AB284" s="240" t="s">
        <v>2499</v>
      </c>
      <c r="AC284" s="240"/>
      <c r="AD284" s="240"/>
      <c r="AE284" s="240"/>
      <c r="AF284" s="240"/>
      <c r="AG284" s="240"/>
      <c r="AH284" s="240"/>
      <c r="AI284" s="240"/>
      <c r="AJ284" s="240"/>
      <c r="AK284" s="240">
        <v>3938</v>
      </c>
      <c r="AL284" s="240"/>
      <c r="AM284" s="284"/>
      <c r="AN284" s="240"/>
      <c r="AO284" s="240"/>
      <c r="AP284" s="240"/>
      <c r="AQ284" s="240">
        <v>33938</v>
      </c>
      <c r="AR284" s="286">
        <v>41.21</v>
      </c>
      <c r="AS284" s="286">
        <v>0.5</v>
      </c>
      <c r="AT284" s="286">
        <v>0.55000000000000004</v>
      </c>
      <c r="AU284" s="286">
        <v>0.4</v>
      </c>
      <c r="AV284" s="240"/>
      <c r="AW284" s="240"/>
      <c r="AX284" s="262" t="s">
        <v>2500</v>
      </c>
      <c r="AY284" s="264" t="s">
        <v>2501</v>
      </c>
      <c r="AZ284" s="264"/>
      <c r="BA284" s="264"/>
      <c r="BB284" s="264"/>
      <c r="BC284" s="264"/>
      <c r="BD284" s="264"/>
      <c r="BE284" s="264"/>
      <c r="BF284" s="228">
        <v>5.165</v>
      </c>
      <c r="BG284" s="228">
        <v>5.165</v>
      </c>
      <c r="BH284" s="228">
        <v>6.2050000000000001</v>
      </c>
      <c r="BI284" s="108">
        <f>(BH284*BG284*BF284)/1728</f>
        <v>9.5794086299189812E-2</v>
      </c>
      <c r="BJ284" s="153">
        <v>2.3199999999999998</v>
      </c>
      <c r="BK284" s="161">
        <v>15.868</v>
      </c>
      <c r="BL284" s="161">
        <v>11.993</v>
      </c>
      <c r="BM284" s="161">
        <v>8.2989999999999995</v>
      </c>
      <c r="BN284" s="108">
        <f>(BM284*BL284*BK284)/1728</f>
        <v>0.91397023395601851</v>
      </c>
      <c r="BO284" s="281">
        <v>14.188000000000001</v>
      </c>
      <c r="BP284" s="281"/>
      <c r="BQ284" s="281"/>
      <c r="BR284" s="228" t="s">
        <v>733</v>
      </c>
      <c r="BS284" s="161">
        <v>6</v>
      </c>
      <c r="BT284" s="161">
        <v>10</v>
      </c>
      <c r="BU284" s="240">
        <v>5</v>
      </c>
      <c r="BV284" s="29">
        <f>BS284*BT284*BU284</f>
        <v>300</v>
      </c>
      <c r="BW284" s="29">
        <f>(BJ284*BV284)+50</f>
        <v>746</v>
      </c>
      <c r="BX284" s="29" t="s">
        <v>890</v>
      </c>
      <c r="BY284" s="29" t="s">
        <v>735</v>
      </c>
      <c r="BZ284" s="15"/>
      <c r="CA284" s="15"/>
      <c r="CB284" s="15"/>
      <c r="CC284" s="282"/>
      <c r="CD284" s="282"/>
      <c r="CE284" s="282"/>
      <c r="CF284" s="282"/>
      <c r="CG284" s="282"/>
      <c r="CH284" s="282"/>
      <c r="CI284" s="282"/>
      <c r="CJ284" s="282"/>
    </row>
    <row r="285" spans="1:88" s="283" customFormat="1" x14ac:dyDescent="0.25">
      <c r="A285" s="256">
        <v>41609</v>
      </c>
      <c r="B285" s="256"/>
      <c r="C285" s="250" t="s">
        <v>2502</v>
      </c>
      <c r="D285" s="250" t="s">
        <v>746</v>
      </c>
      <c r="E285" s="238" t="s">
        <v>2503</v>
      </c>
      <c r="F285" s="250" t="s">
        <v>2504</v>
      </c>
      <c r="G285" s="238" t="s">
        <v>967</v>
      </c>
      <c r="H285" s="238" t="s">
        <v>2505</v>
      </c>
      <c r="I285" s="240" t="s">
        <v>2506</v>
      </c>
      <c r="J285" s="238" t="s">
        <v>2507</v>
      </c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38" t="s">
        <v>2508</v>
      </c>
      <c r="AM285" s="284"/>
      <c r="AN285" s="238" t="s">
        <v>2509</v>
      </c>
      <c r="AO285" s="238"/>
      <c r="AP285" s="238" t="s">
        <v>2510</v>
      </c>
      <c r="AQ285" s="240"/>
      <c r="AR285" s="289">
        <v>10.09</v>
      </c>
      <c r="AS285" s="286"/>
      <c r="AT285" s="240"/>
      <c r="AU285" s="240"/>
      <c r="AV285" s="240"/>
      <c r="AW285" s="240"/>
      <c r="AX285" s="290" t="s">
        <v>2511</v>
      </c>
      <c r="AY285" s="290" t="s">
        <v>2512</v>
      </c>
      <c r="AZ285" s="290"/>
      <c r="BA285" s="290"/>
      <c r="BB285" s="290"/>
      <c r="BC285" s="290"/>
      <c r="BD285" s="290"/>
      <c r="BE285" s="290"/>
      <c r="BF285" s="257">
        <v>2.411</v>
      </c>
      <c r="BG285" s="257">
        <v>2.411</v>
      </c>
      <c r="BH285" s="257">
        <v>6.5720000000000001</v>
      </c>
      <c r="BI285" s="108">
        <f>(BH285*BG285*BF285)/1728</f>
        <v>2.2107937969907412E-2</v>
      </c>
      <c r="BJ285" s="257">
        <v>1.1000000000000001</v>
      </c>
      <c r="BK285" s="257">
        <v>10.25</v>
      </c>
      <c r="BL285" s="257">
        <v>7.75</v>
      </c>
      <c r="BM285" s="257">
        <v>7.12</v>
      </c>
      <c r="BN285" s="108">
        <f>(BM285*BL285*BK285)/1728</f>
        <v>0.32731192129629633</v>
      </c>
      <c r="BO285" s="257">
        <v>14.7</v>
      </c>
      <c r="BP285" s="257"/>
      <c r="BQ285" s="257"/>
      <c r="BR285" s="257" t="s">
        <v>733</v>
      </c>
      <c r="BS285" s="291">
        <v>12</v>
      </c>
      <c r="BT285" s="291">
        <v>22</v>
      </c>
      <c r="BU285" s="291">
        <v>6</v>
      </c>
      <c r="BV285" s="291">
        <f>BS285*BT285*BU285</f>
        <v>1584</v>
      </c>
      <c r="BW285" s="242">
        <f>(BJ285*BV285)+50</f>
        <v>1792.4</v>
      </c>
      <c r="BX285" s="291" t="s">
        <v>890</v>
      </c>
      <c r="BY285" s="291" t="s">
        <v>735</v>
      </c>
      <c r="BZ285" s="15"/>
      <c r="CA285" s="15"/>
      <c r="CB285" s="15"/>
      <c r="CC285" s="282"/>
      <c r="CD285" s="282"/>
      <c r="CE285" s="282"/>
      <c r="CF285" s="282"/>
      <c r="CG285" s="282"/>
      <c r="CH285" s="282"/>
      <c r="CI285" s="282"/>
      <c r="CJ285" s="282"/>
    </row>
    <row r="286" spans="1:88" s="283" customFormat="1" ht="210" x14ac:dyDescent="0.25">
      <c r="A286" s="256">
        <v>41562</v>
      </c>
      <c r="B286" s="256"/>
      <c r="C286" s="161" t="s">
        <v>2513</v>
      </c>
      <c r="D286" s="250" t="s">
        <v>60</v>
      </c>
      <c r="E286" s="161" t="s">
        <v>697</v>
      </c>
      <c r="F286" s="292" t="s">
        <v>2514</v>
      </c>
      <c r="G286" s="250" t="s">
        <v>790</v>
      </c>
      <c r="H286" s="240">
        <v>87517153</v>
      </c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 t="s">
        <v>2515</v>
      </c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93">
        <v>76.22</v>
      </c>
      <c r="AS286" s="294"/>
      <c r="AT286" s="294"/>
      <c r="AU286" s="294"/>
      <c r="AV286" s="240"/>
      <c r="AW286" s="240"/>
      <c r="AX286" s="295">
        <v>10038568737837</v>
      </c>
      <c r="AY286" s="270" t="s">
        <v>2516</v>
      </c>
      <c r="AZ286" s="270"/>
      <c r="BA286" s="270"/>
      <c r="BB286" s="270"/>
      <c r="BC286" s="270"/>
      <c r="BD286" s="270"/>
      <c r="BE286" s="270"/>
      <c r="BF286" s="241"/>
      <c r="BG286" s="241"/>
      <c r="BH286" s="241"/>
      <c r="BI286" s="241"/>
      <c r="BJ286" s="241"/>
      <c r="BK286" s="241">
        <v>10.75</v>
      </c>
      <c r="BL286" s="241">
        <v>7.12</v>
      </c>
      <c r="BM286" s="241">
        <v>6.25</v>
      </c>
      <c r="BN286" s="241"/>
      <c r="BO286" s="241">
        <v>1</v>
      </c>
      <c r="BP286" s="241"/>
      <c r="BQ286" s="241"/>
      <c r="BR286" s="241" t="s">
        <v>733</v>
      </c>
      <c r="BS286" s="241"/>
      <c r="BT286" s="241">
        <v>35</v>
      </c>
      <c r="BU286" s="241">
        <v>4</v>
      </c>
      <c r="BV286" s="241"/>
      <c r="BW286" s="241"/>
      <c r="BX286" s="241" t="s">
        <v>890</v>
      </c>
      <c r="BY286" s="270"/>
      <c r="BZ286" s="1"/>
      <c r="CA286" s="15"/>
      <c r="CB286" s="15"/>
      <c r="CC286" s="1"/>
      <c r="CD286" s="1"/>
      <c r="CE286" s="1"/>
      <c r="CF286" s="1"/>
      <c r="CG286" s="1"/>
      <c r="CH286" s="1"/>
      <c r="CI286" s="1"/>
      <c r="CJ286" s="1"/>
    </row>
    <row r="287" spans="1:88" s="117" customFormat="1" x14ac:dyDescent="0.25">
      <c r="A287" s="256">
        <v>41518</v>
      </c>
      <c r="B287" s="256"/>
      <c r="C287" s="241">
        <v>1151</v>
      </c>
      <c r="D287" s="250" t="s">
        <v>60</v>
      </c>
      <c r="E287" s="241" t="s">
        <v>2517</v>
      </c>
      <c r="F287" s="296" t="s">
        <v>2518</v>
      </c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>
        <v>75</v>
      </c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97">
        <v>234.42</v>
      </c>
      <c r="AS287" s="298">
        <v>0.5</v>
      </c>
      <c r="AT287" s="298">
        <v>0.55000000000000004</v>
      </c>
      <c r="AU287" s="298">
        <v>0.4</v>
      </c>
      <c r="AV287" s="240"/>
      <c r="AW287" s="240"/>
      <c r="AX287" s="241"/>
      <c r="AY287" s="241"/>
      <c r="AZ287" s="241"/>
      <c r="BA287" s="241"/>
      <c r="BB287" s="241"/>
      <c r="BC287" s="241"/>
      <c r="BD287" s="241"/>
      <c r="BE287" s="241"/>
      <c r="BF287" s="241"/>
      <c r="BG287" s="241"/>
      <c r="BH287" s="241"/>
      <c r="BI287" s="241"/>
      <c r="BJ287" s="241"/>
      <c r="BK287" s="241"/>
      <c r="BL287" s="241"/>
      <c r="BM287" s="241"/>
      <c r="BN287" s="241"/>
      <c r="BO287" s="241"/>
      <c r="BP287" s="241"/>
      <c r="BQ287" s="241"/>
      <c r="BR287" s="241" t="s">
        <v>733</v>
      </c>
      <c r="BS287" s="241"/>
      <c r="BT287" s="241"/>
      <c r="BU287" s="241"/>
      <c r="BV287" s="241"/>
      <c r="BW287" s="241"/>
      <c r="BX287" s="241"/>
      <c r="BY287" s="270" t="s">
        <v>783</v>
      </c>
      <c r="BZ287" s="1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</row>
    <row r="288" spans="1:88" s="117" customFormat="1" x14ac:dyDescent="0.25">
      <c r="A288" s="256">
        <v>41518</v>
      </c>
      <c r="B288" s="256"/>
      <c r="C288" s="211" t="s">
        <v>2519</v>
      </c>
      <c r="D288" s="250" t="s">
        <v>60</v>
      </c>
      <c r="E288" s="211" t="s">
        <v>2520</v>
      </c>
      <c r="F288" s="292" t="s">
        <v>2521</v>
      </c>
      <c r="G288" s="211" t="s">
        <v>984</v>
      </c>
      <c r="H288" s="211" t="s">
        <v>2522</v>
      </c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>
        <v>30.92</v>
      </c>
      <c r="AS288" s="240"/>
      <c r="AT288" s="240"/>
      <c r="AU288" s="240"/>
      <c r="AV288" s="240"/>
      <c r="AW288" s="240"/>
      <c r="AX288" s="241" t="s">
        <v>2523</v>
      </c>
      <c r="AY288" s="241"/>
      <c r="AZ288" s="241"/>
      <c r="BA288" s="241"/>
      <c r="BB288" s="241"/>
      <c r="BC288" s="241"/>
      <c r="BD288" s="241"/>
      <c r="BE288" s="241"/>
      <c r="BF288" s="32">
        <v>7.75</v>
      </c>
      <c r="BG288" s="32">
        <v>2.5</v>
      </c>
      <c r="BH288" s="32">
        <v>12.75</v>
      </c>
      <c r="BI288" s="241">
        <f t="shared" ref="BI288:BI302" si="76">(BH288*BG288*BF288)/1728</f>
        <v>0.14295789930555555</v>
      </c>
      <c r="BJ288" s="32">
        <v>8.48</v>
      </c>
      <c r="BK288" s="32">
        <v>3</v>
      </c>
      <c r="BL288" s="32">
        <v>13.49</v>
      </c>
      <c r="BM288" s="32">
        <v>3</v>
      </c>
      <c r="BN288" s="241">
        <f t="shared" ref="BN288:BN302" si="77">(BM288*BL288*BJ288)/1728</f>
        <v>0.19860277777777779</v>
      </c>
      <c r="BO288" s="32">
        <v>8.24</v>
      </c>
      <c r="BP288" s="322"/>
      <c r="BQ288" s="322"/>
      <c r="BR288" s="241" t="s">
        <v>733</v>
      </c>
      <c r="BS288" s="241">
        <v>3</v>
      </c>
      <c r="BT288" s="241">
        <v>14</v>
      </c>
      <c r="BU288" s="241">
        <v>5</v>
      </c>
      <c r="BV288" s="241">
        <f t="shared" ref="BV288:BV302" si="78">(BT288*3)*BU288</f>
        <v>210</v>
      </c>
      <c r="BW288" s="241">
        <f t="shared" ref="BW288:BW302" si="79">(BV288*BO288)+50</f>
        <v>1780.4</v>
      </c>
      <c r="BX288" s="241" t="s">
        <v>890</v>
      </c>
      <c r="BY288" s="270" t="s">
        <v>735</v>
      </c>
      <c r="BZ288" s="1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</row>
    <row r="289" spans="1:88" s="117" customFormat="1" ht="30" x14ac:dyDescent="0.25">
      <c r="A289" s="256">
        <v>41518</v>
      </c>
      <c r="B289" s="256"/>
      <c r="C289" s="211" t="s">
        <v>2524</v>
      </c>
      <c r="D289" s="250" t="s">
        <v>60</v>
      </c>
      <c r="E289" s="211" t="s">
        <v>2520</v>
      </c>
      <c r="F289" s="292" t="s">
        <v>2525</v>
      </c>
      <c r="G289" s="211" t="s">
        <v>2526</v>
      </c>
      <c r="H289" s="211" t="s">
        <v>2527</v>
      </c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>
        <v>39.14</v>
      </c>
      <c r="AS289" s="240"/>
      <c r="AT289" s="240"/>
      <c r="AU289" s="240"/>
      <c r="AV289" s="240"/>
      <c r="AW289" s="240"/>
      <c r="AX289" s="241" t="s">
        <v>2528</v>
      </c>
      <c r="AY289" s="241"/>
      <c r="AZ289" s="241"/>
      <c r="BA289" s="241"/>
      <c r="BB289" s="241"/>
      <c r="BC289" s="241"/>
      <c r="BD289" s="241"/>
      <c r="BE289" s="241"/>
      <c r="BF289" s="32">
        <v>10.75</v>
      </c>
      <c r="BG289" s="32">
        <v>1.75</v>
      </c>
      <c r="BH289" s="32">
        <v>17.62</v>
      </c>
      <c r="BI289" s="241">
        <f t="shared" si="76"/>
        <v>0.1918265335648148</v>
      </c>
      <c r="BJ289" s="32">
        <v>6.6</v>
      </c>
      <c r="BK289" s="32">
        <v>3</v>
      </c>
      <c r="BL289" s="32">
        <v>18.11</v>
      </c>
      <c r="BM289" s="32">
        <v>3</v>
      </c>
      <c r="BN289" s="241">
        <f t="shared" si="77"/>
        <v>0.20751041666666664</v>
      </c>
      <c r="BO289" s="32">
        <v>12.24</v>
      </c>
      <c r="BP289" s="322"/>
      <c r="BQ289" s="322"/>
      <c r="BR289" s="241" t="s">
        <v>733</v>
      </c>
      <c r="BS289" s="241">
        <v>3</v>
      </c>
      <c r="BT289" s="241">
        <v>7</v>
      </c>
      <c r="BU289" s="241">
        <v>6</v>
      </c>
      <c r="BV289" s="241">
        <f t="shared" si="78"/>
        <v>126</v>
      </c>
      <c r="BW289" s="241">
        <f t="shared" si="79"/>
        <v>1592.24</v>
      </c>
      <c r="BX289" s="241" t="s">
        <v>890</v>
      </c>
      <c r="BY289" s="270" t="s">
        <v>735</v>
      </c>
      <c r="BZ289" s="1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</row>
    <row r="290" spans="1:88" s="117" customFormat="1" x14ac:dyDescent="0.25">
      <c r="A290" s="256">
        <v>41518</v>
      </c>
      <c r="B290" s="256"/>
      <c r="C290" s="211" t="s">
        <v>2529</v>
      </c>
      <c r="D290" s="250" t="s">
        <v>60</v>
      </c>
      <c r="E290" s="211" t="s">
        <v>2520</v>
      </c>
      <c r="F290" s="292" t="s">
        <v>2530</v>
      </c>
      <c r="G290" s="211" t="s">
        <v>2531</v>
      </c>
      <c r="H290" s="211">
        <v>20435801</v>
      </c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>
        <v>19.82</v>
      </c>
      <c r="AS290" s="240"/>
      <c r="AT290" s="240"/>
      <c r="AU290" s="240"/>
      <c r="AV290" s="240"/>
      <c r="AW290" s="240"/>
      <c r="AX290" s="241" t="s">
        <v>2532</v>
      </c>
      <c r="AY290" s="241"/>
      <c r="AZ290" s="241"/>
      <c r="BA290" s="241"/>
      <c r="BB290" s="241"/>
      <c r="BC290" s="241"/>
      <c r="BD290" s="241"/>
      <c r="BE290" s="241"/>
      <c r="BF290" s="32">
        <v>10.75</v>
      </c>
      <c r="BG290" s="32">
        <v>1.75</v>
      </c>
      <c r="BH290" s="32">
        <v>17.62</v>
      </c>
      <c r="BI290" s="241">
        <f t="shared" si="76"/>
        <v>0.1918265335648148</v>
      </c>
      <c r="BJ290" s="32">
        <v>6.6</v>
      </c>
      <c r="BK290" s="32">
        <v>3</v>
      </c>
      <c r="BL290" s="32">
        <v>18.11</v>
      </c>
      <c r="BM290" s="32">
        <v>3</v>
      </c>
      <c r="BN290" s="241">
        <f t="shared" si="77"/>
        <v>0.20751041666666664</v>
      </c>
      <c r="BO290" s="32">
        <v>12.24</v>
      </c>
      <c r="BP290" s="322"/>
      <c r="BQ290" s="322"/>
      <c r="BR290" s="241" t="s">
        <v>733</v>
      </c>
      <c r="BS290" s="241">
        <v>3</v>
      </c>
      <c r="BT290" s="241">
        <v>7</v>
      </c>
      <c r="BU290" s="241">
        <v>6</v>
      </c>
      <c r="BV290" s="241">
        <f t="shared" si="78"/>
        <v>126</v>
      </c>
      <c r="BW290" s="241">
        <f t="shared" si="79"/>
        <v>1592.24</v>
      </c>
      <c r="BX290" s="241" t="s">
        <v>890</v>
      </c>
      <c r="BY290" s="270" t="s">
        <v>735</v>
      </c>
      <c r="BZ290" s="1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</row>
    <row r="291" spans="1:88" s="117" customFormat="1" x14ac:dyDescent="0.25">
      <c r="A291" s="256">
        <v>41518</v>
      </c>
      <c r="B291" s="256"/>
      <c r="C291" s="211" t="s">
        <v>2533</v>
      </c>
      <c r="D291" s="250" t="s">
        <v>60</v>
      </c>
      <c r="E291" s="211" t="s">
        <v>2520</v>
      </c>
      <c r="F291" s="292" t="s">
        <v>2534</v>
      </c>
      <c r="G291" s="211" t="s">
        <v>2531</v>
      </c>
      <c r="H291" s="211">
        <v>3948712</v>
      </c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>
        <v>20.260000000000002</v>
      </c>
      <c r="AS291" s="240"/>
      <c r="AT291" s="240"/>
      <c r="AU291" s="240"/>
      <c r="AV291" s="240"/>
      <c r="AW291" s="240"/>
      <c r="AX291" s="241" t="s">
        <v>2535</v>
      </c>
      <c r="AY291" s="240"/>
      <c r="AZ291" s="240"/>
      <c r="BA291" s="240"/>
      <c r="BB291" s="240"/>
      <c r="BC291" s="240"/>
      <c r="BD291" s="240"/>
      <c r="BE291" s="240"/>
      <c r="BF291" s="32">
        <v>10.75</v>
      </c>
      <c r="BG291" s="32">
        <v>1.75</v>
      </c>
      <c r="BH291" s="32">
        <v>17.62</v>
      </c>
      <c r="BI291" s="241">
        <f t="shared" si="76"/>
        <v>0.1918265335648148</v>
      </c>
      <c r="BJ291" s="32">
        <v>6.6</v>
      </c>
      <c r="BK291" s="32">
        <v>3</v>
      </c>
      <c r="BL291" s="32">
        <v>18.11</v>
      </c>
      <c r="BM291" s="32">
        <v>3</v>
      </c>
      <c r="BN291" s="241">
        <f t="shared" si="77"/>
        <v>0.20751041666666664</v>
      </c>
      <c r="BO291" s="32">
        <v>12.24</v>
      </c>
      <c r="BP291" s="322"/>
      <c r="BQ291" s="322"/>
      <c r="BR291" s="241" t="s">
        <v>733</v>
      </c>
      <c r="BS291" s="241">
        <v>3</v>
      </c>
      <c r="BT291" s="240">
        <v>7</v>
      </c>
      <c r="BU291" s="240">
        <v>6</v>
      </c>
      <c r="BV291" s="241">
        <f t="shared" si="78"/>
        <v>126</v>
      </c>
      <c r="BW291" s="241">
        <f t="shared" si="79"/>
        <v>1592.24</v>
      </c>
      <c r="BX291" s="241" t="s">
        <v>890</v>
      </c>
      <c r="BY291" s="270" t="s">
        <v>735</v>
      </c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</row>
    <row r="292" spans="1:88" s="117" customFormat="1" x14ac:dyDescent="0.25">
      <c r="A292" s="256">
        <v>41518</v>
      </c>
      <c r="B292" s="256"/>
      <c r="C292" s="211" t="s">
        <v>2536</v>
      </c>
      <c r="D292" s="250" t="s">
        <v>60</v>
      </c>
      <c r="E292" s="211" t="s">
        <v>2520</v>
      </c>
      <c r="F292" s="292" t="s">
        <v>2534</v>
      </c>
      <c r="G292" s="211" t="s">
        <v>2531</v>
      </c>
      <c r="H292" s="211">
        <v>8089705</v>
      </c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>
        <v>22.53</v>
      </c>
      <c r="AS292" s="240"/>
      <c r="AT292" s="240"/>
      <c r="AU292" s="240"/>
      <c r="AV292" s="240"/>
      <c r="AW292" s="240"/>
      <c r="AX292" s="241" t="s">
        <v>2537</v>
      </c>
      <c r="AY292" s="240"/>
      <c r="AZ292" s="240"/>
      <c r="BA292" s="240"/>
      <c r="BB292" s="240"/>
      <c r="BC292" s="240"/>
      <c r="BD292" s="240"/>
      <c r="BE292" s="240"/>
      <c r="BF292" s="32">
        <v>7.75</v>
      </c>
      <c r="BG292" s="32">
        <v>2.5</v>
      </c>
      <c r="BH292" s="32">
        <v>12.75</v>
      </c>
      <c r="BI292" s="241">
        <f t="shared" si="76"/>
        <v>0.14295789930555555</v>
      </c>
      <c r="BJ292" s="32">
        <v>8.48</v>
      </c>
      <c r="BK292" s="32">
        <v>3</v>
      </c>
      <c r="BL292" s="32">
        <v>13.49</v>
      </c>
      <c r="BM292" s="32">
        <v>3</v>
      </c>
      <c r="BN292" s="241">
        <f t="shared" si="77"/>
        <v>0.19860277777777779</v>
      </c>
      <c r="BO292" s="32">
        <v>8.24</v>
      </c>
      <c r="BP292" s="322"/>
      <c r="BQ292" s="322"/>
      <c r="BR292" s="241" t="s">
        <v>733</v>
      </c>
      <c r="BS292" s="241">
        <v>3</v>
      </c>
      <c r="BT292" s="240">
        <v>14</v>
      </c>
      <c r="BU292" s="240">
        <v>5</v>
      </c>
      <c r="BV292" s="241">
        <f t="shared" si="78"/>
        <v>210</v>
      </c>
      <c r="BW292" s="241">
        <f t="shared" si="79"/>
        <v>1780.4</v>
      </c>
      <c r="BX292" s="241" t="s">
        <v>890</v>
      </c>
      <c r="BY292" s="270" t="s">
        <v>735</v>
      </c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</row>
    <row r="293" spans="1:88" s="117" customFormat="1" ht="30" x14ac:dyDescent="0.25">
      <c r="A293" s="256">
        <v>41518</v>
      </c>
      <c r="B293" s="256"/>
      <c r="C293" s="211" t="s">
        <v>2538</v>
      </c>
      <c r="D293" s="250" t="s">
        <v>60</v>
      </c>
      <c r="E293" s="211" t="s">
        <v>2520</v>
      </c>
      <c r="F293" s="292" t="s">
        <v>2539</v>
      </c>
      <c r="G293" s="292" t="s">
        <v>2540</v>
      </c>
      <c r="H293" s="292">
        <v>91559</v>
      </c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>
        <v>22.02</v>
      </c>
      <c r="AS293" s="240"/>
      <c r="AT293" s="240"/>
      <c r="AU293" s="240"/>
      <c r="AV293" s="240"/>
      <c r="AW293" s="240"/>
      <c r="AX293" s="241" t="s">
        <v>2541</v>
      </c>
      <c r="AY293" s="241"/>
      <c r="AZ293" s="241"/>
      <c r="BA293" s="241"/>
      <c r="BB293" s="241"/>
      <c r="BC293" s="241"/>
      <c r="BD293" s="241"/>
      <c r="BE293" s="241"/>
      <c r="BF293" s="32">
        <v>11.25</v>
      </c>
      <c r="BG293" s="32">
        <v>2.68</v>
      </c>
      <c r="BH293" s="32">
        <v>11.25</v>
      </c>
      <c r="BI293" s="241">
        <f t="shared" si="76"/>
        <v>0.1962890625</v>
      </c>
      <c r="BJ293" s="32">
        <v>9</v>
      </c>
      <c r="BK293" s="32">
        <v>3</v>
      </c>
      <c r="BL293" s="32">
        <v>11.75</v>
      </c>
      <c r="BM293" s="32">
        <v>3</v>
      </c>
      <c r="BN293" s="241">
        <f t="shared" si="77"/>
        <v>0.18359375</v>
      </c>
      <c r="BO293" s="32">
        <v>11.75</v>
      </c>
      <c r="BP293" s="322"/>
      <c r="BQ293" s="322"/>
      <c r="BR293" s="241" t="s">
        <v>733</v>
      </c>
      <c r="BS293" s="241">
        <v>3</v>
      </c>
      <c r="BT293" s="241">
        <v>12</v>
      </c>
      <c r="BU293" s="241">
        <v>5</v>
      </c>
      <c r="BV293" s="241">
        <f t="shared" si="78"/>
        <v>180</v>
      </c>
      <c r="BW293" s="241">
        <f t="shared" si="79"/>
        <v>2165</v>
      </c>
      <c r="BX293" s="241" t="s">
        <v>890</v>
      </c>
      <c r="BY293" s="270" t="s">
        <v>735</v>
      </c>
      <c r="BZ293" s="1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</row>
    <row r="294" spans="1:88" s="117" customFormat="1" x14ac:dyDescent="0.25">
      <c r="A294" s="256">
        <v>41518</v>
      </c>
      <c r="B294" s="256"/>
      <c r="C294" s="211" t="s">
        <v>2542</v>
      </c>
      <c r="D294" s="250" t="s">
        <v>60</v>
      </c>
      <c r="E294" s="211" t="s">
        <v>2520</v>
      </c>
      <c r="F294" s="292" t="s">
        <v>2543</v>
      </c>
      <c r="G294" s="292" t="s">
        <v>2540</v>
      </c>
      <c r="H294" s="292" t="s">
        <v>2544</v>
      </c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>
        <v>36.89</v>
      </c>
      <c r="AS294" s="240"/>
      <c r="AT294" s="240"/>
      <c r="AU294" s="240"/>
      <c r="AV294" s="240"/>
      <c r="AW294" s="240"/>
      <c r="AX294" s="241" t="s">
        <v>2545</v>
      </c>
      <c r="AY294" s="241"/>
      <c r="AZ294" s="241"/>
      <c r="BA294" s="241"/>
      <c r="BB294" s="241"/>
      <c r="BC294" s="241"/>
      <c r="BD294" s="241"/>
      <c r="BE294" s="241"/>
      <c r="BF294" s="32">
        <v>11.25</v>
      </c>
      <c r="BG294" s="32">
        <v>2.68</v>
      </c>
      <c r="BH294" s="32">
        <v>11.25</v>
      </c>
      <c r="BI294" s="241">
        <f t="shared" si="76"/>
        <v>0.1962890625</v>
      </c>
      <c r="BJ294" s="32">
        <v>9</v>
      </c>
      <c r="BK294" s="32">
        <v>3</v>
      </c>
      <c r="BL294" s="32">
        <v>11.75</v>
      </c>
      <c r="BM294" s="32">
        <v>3</v>
      </c>
      <c r="BN294" s="241">
        <f t="shared" si="77"/>
        <v>0.18359375</v>
      </c>
      <c r="BO294" s="32">
        <v>11.75</v>
      </c>
      <c r="BP294" s="322"/>
      <c r="BQ294" s="322"/>
      <c r="BR294" s="241" t="s">
        <v>733</v>
      </c>
      <c r="BS294" s="241">
        <v>3</v>
      </c>
      <c r="BT294" s="241">
        <v>12</v>
      </c>
      <c r="BU294" s="241">
        <v>5</v>
      </c>
      <c r="BV294" s="241">
        <f t="shared" si="78"/>
        <v>180</v>
      </c>
      <c r="BW294" s="241">
        <f t="shared" si="79"/>
        <v>2165</v>
      </c>
      <c r="BX294" s="241" t="s">
        <v>890</v>
      </c>
      <c r="BY294" s="270" t="s">
        <v>735</v>
      </c>
      <c r="BZ294" s="1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</row>
    <row r="295" spans="1:88" s="117" customFormat="1" x14ac:dyDescent="0.25">
      <c r="A295" s="256">
        <v>41518</v>
      </c>
      <c r="B295" s="256"/>
      <c r="C295" s="211" t="s">
        <v>2546</v>
      </c>
      <c r="D295" s="250" t="s">
        <v>60</v>
      </c>
      <c r="E295" s="211" t="s">
        <v>2520</v>
      </c>
      <c r="F295" s="292" t="s">
        <v>2547</v>
      </c>
      <c r="G295" s="211" t="s">
        <v>1147</v>
      </c>
      <c r="H295" s="211" t="s">
        <v>2548</v>
      </c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>
        <v>27.3</v>
      </c>
      <c r="AS295" s="240"/>
      <c r="AT295" s="240"/>
      <c r="AU295" s="240"/>
      <c r="AV295" s="240"/>
      <c r="AW295" s="240"/>
      <c r="AX295" s="241" t="s">
        <v>2549</v>
      </c>
      <c r="AY295" s="241"/>
      <c r="AZ295" s="241"/>
      <c r="BA295" s="241"/>
      <c r="BB295" s="241"/>
      <c r="BC295" s="241"/>
      <c r="BD295" s="241"/>
      <c r="BE295" s="241"/>
      <c r="BF295" s="32">
        <v>7.5</v>
      </c>
      <c r="BG295" s="32">
        <v>1.31</v>
      </c>
      <c r="BH295" s="32">
        <v>13</v>
      </c>
      <c r="BI295" s="241">
        <f t="shared" si="76"/>
        <v>7.3914930555555564E-2</v>
      </c>
      <c r="BJ295" s="32">
        <v>4.6399999999999997</v>
      </c>
      <c r="BK295" s="32">
        <v>3</v>
      </c>
      <c r="BL295" s="32">
        <v>14.26</v>
      </c>
      <c r="BM295" s="32">
        <v>3</v>
      </c>
      <c r="BN295" s="241">
        <f t="shared" si="77"/>
        <v>0.11487222222222222</v>
      </c>
      <c r="BO295" s="32">
        <v>9.6300000000000008</v>
      </c>
      <c r="BP295" s="322"/>
      <c r="BQ295" s="322"/>
      <c r="BR295" s="241" t="s">
        <v>733</v>
      </c>
      <c r="BS295" s="241">
        <v>3</v>
      </c>
      <c r="BT295" s="241">
        <v>12</v>
      </c>
      <c r="BU295" s="241">
        <v>9</v>
      </c>
      <c r="BV295" s="241">
        <f t="shared" si="78"/>
        <v>324</v>
      </c>
      <c r="BW295" s="241">
        <f t="shared" si="79"/>
        <v>3170.1200000000003</v>
      </c>
      <c r="BX295" s="241" t="s">
        <v>890</v>
      </c>
      <c r="BY295" s="270" t="s">
        <v>735</v>
      </c>
      <c r="BZ295" s="1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</row>
    <row r="296" spans="1:88" s="117" customFormat="1" x14ac:dyDescent="0.25">
      <c r="A296" s="256">
        <v>41518</v>
      </c>
      <c r="B296" s="256"/>
      <c r="C296" s="211" t="s">
        <v>2550</v>
      </c>
      <c r="D296" s="250" t="s">
        <v>60</v>
      </c>
      <c r="E296" s="211" t="s">
        <v>2520</v>
      </c>
      <c r="F296" s="292" t="s">
        <v>2551</v>
      </c>
      <c r="G296" s="211" t="s">
        <v>2552</v>
      </c>
      <c r="H296" s="211" t="s">
        <v>2553</v>
      </c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>
        <v>23.75</v>
      </c>
      <c r="AS296" s="240"/>
      <c r="AT296" s="240"/>
      <c r="AU296" s="240"/>
      <c r="AV296" s="240"/>
      <c r="AW296" s="240"/>
      <c r="AX296" s="241" t="s">
        <v>2554</v>
      </c>
      <c r="AY296" s="241"/>
      <c r="AZ296" s="241"/>
      <c r="BA296" s="241"/>
      <c r="BB296" s="241"/>
      <c r="BC296" s="241"/>
      <c r="BD296" s="241"/>
      <c r="BE296" s="241"/>
      <c r="BF296" s="32">
        <v>10.75</v>
      </c>
      <c r="BG296" s="32">
        <v>1.75</v>
      </c>
      <c r="BH296" s="32">
        <v>17.62</v>
      </c>
      <c r="BI296" s="241">
        <f t="shared" si="76"/>
        <v>0.1918265335648148</v>
      </c>
      <c r="BJ296" s="32">
        <v>6.6</v>
      </c>
      <c r="BK296" s="32">
        <v>3</v>
      </c>
      <c r="BL296" s="32">
        <v>18.11</v>
      </c>
      <c r="BM296" s="32">
        <v>3</v>
      </c>
      <c r="BN296" s="241">
        <f t="shared" si="77"/>
        <v>0.20751041666666664</v>
      </c>
      <c r="BO296" s="32">
        <v>12.24</v>
      </c>
      <c r="BP296" s="322"/>
      <c r="BQ296" s="322"/>
      <c r="BR296" s="241" t="s">
        <v>733</v>
      </c>
      <c r="BS296" s="241">
        <v>3</v>
      </c>
      <c r="BT296" s="241">
        <v>7</v>
      </c>
      <c r="BU296" s="241">
        <v>6</v>
      </c>
      <c r="BV296" s="241">
        <f t="shared" si="78"/>
        <v>126</v>
      </c>
      <c r="BW296" s="241">
        <f t="shared" si="79"/>
        <v>1592.24</v>
      </c>
      <c r="BX296" s="241" t="s">
        <v>890</v>
      </c>
      <c r="BY296" s="270" t="s">
        <v>735</v>
      </c>
      <c r="BZ296" s="1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</row>
    <row r="297" spans="1:88" s="117" customFormat="1" x14ac:dyDescent="0.25">
      <c r="A297" s="256">
        <v>41518</v>
      </c>
      <c r="B297" s="256"/>
      <c r="C297" s="211" t="s">
        <v>2555</v>
      </c>
      <c r="D297" s="250" t="s">
        <v>60</v>
      </c>
      <c r="E297" s="211" t="s">
        <v>2520</v>
      </c>
      <c r="F297" s="292" t="s">
        <v>2556</v>
      </c>
      <c r="G297" s="211" t="s">
        <v>1147</v>
      </c>
      <c r="H297" s="211" t="s">
        <v>2557</v>
      </c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>
        <v>22.42</v>
      </c>
      <c r="AS297" s="240"/>
      <c r="AT297" s="240"/>
      <c r="AU297" s="240"/>
      <c r="AV297" s="240"/>
      <c r="AW297" s="240"/>
      <c r="AX297" s="241" t="s">
        <v>2558</v>
      </c>
      <c r="AY297" s="241"/>
      <c r="AZ297" s="241"/>
      <c r="BA297" s="241"/>
      <c r="BB297" s="241"/>
      <c r="BC297" s="241"/>
      <c r="BD297" s="241"/>
      <c r="BE297" s="241"/>
      <c r="BF297" s="32">
        <v>14</v>
      </c>
      <c r="BG297" s="32">
        <v>3.06</v>
      </c>
      <c r="BH297" s="32">
        <v>14</v>
      </c>
      <c r="BI297" s="241">
        <f t="shared" si="76"/>
        <v>0.34708333333333335</v>
      </c>
      <c r="BJ297" s="32">
        <v>14.73</v>
      </c>
      <c r="BK297" s="32">
        <v>3</v>
      </c>
      <c r="BL297" s="32">
        <v>14.49</v>
      </c>
      <c r="BM297" s="32">
        <v>3</v>
      </c>
      <c r="BN297" s="241">
        <f t="shared" si="77"/>
        <v>0.37055156249999999</v>
      </c>
      <c r="BO297" s="32">
        <v>9.86</v>
      </c>
      <c r="BP297" s="322"/>
      <c r="BQ297" s="322"/>
      <c r="BR297" s="241" t="s">
        <v>733</v>
      </c>
      <c r="BS297" s="241">
        <v>3</v>
      </c>
      <c r="BT297" s="241">
        <v>6</v>
      </c>
      <c r="BU297" s="241">
        <v>4</v>
      </c>
      <c r="BV297" s="241">
        <f t="shared" si="78"/>
        <v>72</v>
      </c>
      <c r="BW297" s="241">
        <f t="shared" si="79"/>
        <v>759.92</v>
      </c>
      <c r="BX297" s="241" t="s">
        <v>890</v>
      </c>
      <c r="BY297" s="270" t="s">
        <v>735</v>
      </c>
      <c r="BZ297" s="1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</row>
    <row r="298" spans="1:88" s="117" customFormat="1" x14ac:dyDescent="0.25">
      <c r="A298" s="256">
        <v>41518</v>
      </c>
      <c r="B298" s="256"/>
      <c r="C298" s="211" t="s">
        <v>2559</v>
      </c>
      <c r="D298" s="250" t="s">
        <v>60</v>
      </c>
      <c r="E298" s="211" t="s">
        <v>2520</v>
      </c>
      <c r="F298" s="292" t="s">
        <v>2560</v>
      </c>
      <c r="G298" s="211" t="s">
        <v>2540</v>
      </c>
      <c r="H298" s="211">
        <v>8031900159</v>
      </c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>
        <v>11.6</v>
      </c>
      <c r="AS298" s="240"/>
      <c r="AT298" s="240"/>
      <c r="AU298" s="240"/>
      <c r="AV298" s="240"/>
      <c r="AW298" s="240"/>
      <c r="AX298" s="241" t="s">
        <v>2561</v>
      </c>
      <c r="AY298" s="241"/>
      <c r="AZ298" s="241"/>
      <c r="BA298" s="241"/>
      <c r="BB298" s="241"/>
      <c r="BC298" s="241"/>
      <c r="BD298" s="241"/>
      <c r="BE298" s="241"/>
      <c r="BF298" s="32">
        <v>9.06</v>
      </c>
      <c r="BG298" s="32">
        <v>1.37</v>
      </c>
      <c r="BH298" s="32">
        <v>9.25</v>
      </c>
      <c r="BI298" s="241">
        <f t="shared" si="76"/>
        <v>6.6442621527777787E-2</v>
      </c>
      <c r="BJ298" s="32">
        <v>4.7300000000000004</v>
      </c>
      <c r="BK298" s="32">
        <v>3</v>
      </c>
      <c r="BL298" s="32">
        <v>10.49</v>
      </c>
      <c r="BM298" s="32">
        <v>3</v>
      </c>
      <c r="BN298" s="241">
        <f t="shared" si="77"/>
        <v>8.6141840277777784E-2</v>
      </c>
      <c r="BO298" s="32">
        <v>9.99</v>
      </c>
      <c r="BP298" s="322"/>
      <c r="BQ298" s="322"/>
      <c r="BR298" s="241" t="s">
        <v>733</v>
      </c>
      <c r="BS298" s="241">
        <v>3</v>
      </c>
      <c r="BT298" s="241">
        <v>16</v>
      </c>
      <c r="BU298" s="241">
        <v>9</v>
      </c>
      <c r="BV298" s="241">
        <f t="shared" si="78"/>
        <v>432</v>
      </c>
      <c r="BW298" s="241">
        <f t="shared" si="79"/>
        <v>4365.68</v>
      </c>
      <c r="BX298" s="241" t="s">
        <v>890</v>
      </c>
      <c r="BY298" s="270" t="s">
        <v>735</v>
      </c>
      <c r="BZ298" s="1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</row>
    <row r="299" spans="1:88" s="117" customFormat="1" x14ac:dyDescent="0.25">
      <c r="A299" s="256">
        <v>41518</v>
      </c>
      <c r="B299" s="256"/>
      <c r="C299" s="211" t="s">
        <v>2562</v>
      </c>
      <c r="D299" s="250" t="s">
        <v>60</v>
      </c>
      <c r="E299" s="211" t="s">
        <v>2520</v>
      </c>
      <c r="F299" s="292" t="s">
        <v>2563</v>
      </c>
      <c r="G299" s="211" t="s">
        <v>2540</v>
      </c>
      <c r="H299" s="211">
        <v>91595</v>
      </c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>
        <v>10.050000000000001</v>
      </c>
      <c r="AS299" s="240"/>
      <c r="AT299" s="240"/>
      <c r="AU299" s="240"/>
      <c r="AV299" s="240"/>
      <c r="AW299" s="240"/>
      <c r="AX299" s="241" t="s">
        <v>2564</v>
      </c>
      <c r="AY299" s="241"/>
      <c r="AZ299" s="241"/>
      <c r="BA299" s="241"/>
      <c r="BB299" s="241"/>
      <c r="BC299" s="241"/>
      <c r="BD299" s="241"/>
      <c r="BE299" s="241"/>
      <c r="BF299" s="32">
        <v>9.06</v>
      </c>
      <c r="BG299" s="32">
        <v>1.37</v>
      </c>
      <c r="BH299" s="32">
        <v>9.25</v>
      </c>
      <c r="BI299" s="241">
        <f t="shared" si="76"/>
        <v>6.6442621527777787E-2</v>
      </c>
      <c r="BJ299" s="32">
        <v>4.7300000000000004</v>
      </c>
      <c r="BK299" s="32">
        <v>3</v>
      </c>
      <c r="BL299" s="32">
        <v>10.49</v>
      </c>
      <c r="BM299" s="32">
        <v>3</v>
      </c>
      <c r="BN299" s="241">
        <f t="shared" si="77"/>
        <v>8.6141840277777784E-2</v>
      </c>
      <c r="BO299" s="32">
        <v>9.99</v>
      </c>
      <c r="BP299" s="322"/>
      <c r="BQ299" s="322"/>
      <c r="BR299" s="241" t="s">
        <v>733</v>
      </c>
      <c r="BS299" s="241">
        <v>3</v>
      </c>
      <c r="BT299" s="241">
        <v>16</v>
      </c>
      <c r="BU299" s="241">
        <v>9</v>
      </c>
      <c r="BV299" s="241">
        <f t="shared" si="78"/>
        <v>432</v>
      </c>
      <c r="BW299" s="241">
        <f t="shared" si="79"/>
        <v>4365.68</v>
      </c>
      <c r="BX299" s="241" t="s">
        <v>890</v>
      </c>
      <c r="BY299" s="270" t="s">
        <v>735</v>
      </c>
      <c r="BZ299" s="1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</row>
    <row r="300" spans="1:88" s="117" customFormat="1" ht="30" x14ac:dyDescent="0.25">
      <c r="A300" s="256">
        <v>41518</v>
      </c>
      <c r="B300" s="256"/>
      <c r="C300" s="211" t="s">
        <v>2565</v>
      </c>
      <c r="D300" s="250" t="s">
        <v>60</v>
      </c>
      <c r="E300" s="211" t="s">
        <v>2520</v>
      </c>
      <c r="F300" s="292" t="s">
        <v>2566</v>
      </c>
      <c r="G300" s="211" t="s">
        <v>2567</v>
      </c>
      <c r="H300" s="211" t="s">
        <v>2568</v>
      </c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>
        <v>26.74</v>
      </c>
      <c r="AS300" s="240"/>
      <c r="AT300" s="240"/>
      <c r="AU300" s="240"/>
      <c r="AV300" s="240"/>
      <c r="AW300" s="240"/>
      <c r="AX300" s="241" t="s">
        <v>2569</v>
      </c>
      <c r="AY300" s="241"/>
      <c r="AZ300" s="241"/>
      <c r="BA300" s="241"/>
      <c r="BB300" s="241"/>
      <c r="BC300" s="241"/>
      <c r="BD300" s="241"/>
      <c r="BE300" s="241"/>
      <c r="BF300" s="32">
        <v>7.09</v>
      </c>
      <c r="BG300" s="32">
        <v>1.53</v>
      </c>
      <c r="BH300" s="32">
        <v>11.5</v>
      </c>
      <c r="BI300" s="241">
        <f t="shared" si="76"/>
        <v>7.2192447916666666E-2</v>
      </c>
      <c r="BJ300" s="32">
        <v>5.23</v>
      </c>
      <c r="BK300" s="32">
        <v>3</v>
      </c>
      <c r="BL300" s="32">
        <v>11.92</v>
      </c>
      <c r="BM300" s="32">
        <v>3</v>
      </c>
      <c r="BN300" s="241">
        <f t="shared" si="77"/>
        <v>0.10823194444444445</v>
      </c>
      <c r="BO300" s="32">
        <v>7.99</v>
      </c>
      <c r="BP300" s="322"/>
      <c r="BQ300" s="322"/>
      <c r="BR300" s="241" t="s">
        <v>733</v>
      </c>
      <c r="BS300" s="241">
        <v>3</v>
      </c>
      <c r="BT300" s="241">
        <v>20</v>
      </c>
      <c r="BU300" s="241">
        <v>8</v>
      </c>
      <c r="BV300" s="241">
        <f t="shared" si="78"/>
        <v>480</v>
      </c>
      <c r="BW300" s="241">
        <f t="shared" si="79"/>
        <v>3885.2000000000003</v>
      </c>
      <c r="BX300" s="241" t="s">
        <v>890</v>
      </c>
      <c r="BY300" s="270" t="s">
        <v>735</v>
      </c>
      <c r="BZ300" s="1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</row>
    <row r="301" spans="1:88" s="117" customFormat="1" x14ac:dyDescent="0.25">
      <c r="A301" s="256">
        <v>41518</v>
      </c>
      <c r="B301" s="256"/>
      <c r="C301" s="211" t="s">
        <v>2570</v>
      </c>
      <c r="D301" s="250" t="s">
        <v>60</v>
      </c>
      <c r="E301" s="211" t="s">
        <v>2520</v>
      </c>
      <c r="F301" s="292" t="s">
        <v>2571</v>
      </c>
      <c r="G301" s="211" t="s">
        <v>1147</v>
      </c>
      <c r="H301" s="211" t="s">
        <v>2572</v>
      </c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>
        <v>30.28</v>
      </c>
      <c r="AS301" s="240"/>
      <c r="AT301" s="240"/>
      <c r="AU301" s="240"/>
      <c r="AV301" s="240"/>
      <c r="AW301" s="240"/>
      <c r="AX301" s="241" t="s">
        <v>2573</v>
      </c>
      <c r="AY301" s="241"/>
      <c r="AZ301" s="241"/>
      <c r="BA301" s="241"/>
      <c r="BB301" s="241"/>
      <c r="BC301" s="241"/>
      <c r="BD301" s="241"/>
      <c r="BE301" s="241"/>
      <c r="BF301" s="32">
        <v>7.5</v>
      </c>
      <c r="BG301" s="32">
        <v>1.31</v>
      </c>
      <c r="BH301" s="32">
        <v>13</v>
      </c>
      <c r="BI301" s="241">
        <f t="shared" si="76"/>
        <v>7.3914930555555564E-2</v>
      </c>
      <c r="BJ301" s="32">
        <v>4.6399999999999997</v>
      </c>
      <c r="BK301" s="32">
        <v>3</v>
      </c>
      <c r="BL301" s="32">
        <v>14.26</v>
      </c>
      <c r="BM301" s="32">
        <v>3</v>
      </c>
      <c r="BN301" s="241">
        <f t="shared" si="77"/>
        <v>0.11487222222222222</v>
      </c>
      <c r="BO301" s="32">
        <v>9.6300000000000008</v>
      </c>
      <c r="BP301" s="322"/>
      <c r="BQ301" s="322"/>
      <c r="BR301" s="241" t="s">
        <v>733</v>
      </c>
      <c r="BS301" s="241">
        <v>3</v>
      </c>
      <c r="BT301" s="241">
        <v>12</v>
      </c>
      <c r="BU301" s="241">
        <v>9</v>
      </c>
      <c r="BV301" s="241">
        <f t="shared" si="78"/>
        <v>324</v>
      </c>
      <c r="BW301" s="241">
        <f t="shared" si="79"/>
        <v>3170.1200000000003</v>
      </c>
      <c r="BX301" s="241" t="s">
        <v>890</v>
      </c>
      <c r="BY301" s="270" t="s">
        <v>735</v>
      </c>
      <c r="BZ301" s="1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</row>
    <row r="302" spans="1:88" s="117" customFormat="1" x14ac:dyDescent="0.25">
      <c r="A302" s="256">
        <v>41518</v>
      </c>
      <c r="B302" s="256"/>
      <c r="C302" s="211" t="s">
        <v>2574</v>
      </c>
      <c r="D302" s="250" t="s">
        <v>60</v>
      </c>
      <c r="E302" s="211" t="s">
        <v>2520</v>
      </c>
      <c r="F302" s="292" t="s">
        <v>2575</v>
      </c>
      <c r="G302" s="211" t="s">
        <v>2540</v>
      </c>
      <c r="H302" s="211" t="s">
        <v>2576</v>
      </c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>
        <v>18.57</v>
      </c>
      <c r="AS302" s="240"/>
      <c r="AT302" s="240"/>
      <c r="AU302" s="240"/>
      <c r="AV302" s="240"/>
      <c r="AW302" s="240"/>
      <c r="AX302" s="241" t="s">
        <v>2577</v>
      </c>
      <c r="AY302" s="241"/>
      <c r="AZ302" s="241"/>
      <c r="BA302" s="241"/>
      <c r="BB302" s="241"/>
      <c r="BC302" s="241"/>
      <c r="BD302" s="241"/>
      <c r="BE302" s="241"/>
      <c r="BF302" s="32">
        <v>9.06</v>
      </c>
      <c r="BG302" s="32">
        <v>1.37</v>
      </c>
      <c r="BH302" s="32">
        <v>9.25</v>
      </c>
      <c r="BI302" s="241">
        <f t="shared" si="76"/>
        <v>6.6442621527777787E-2</v>
      </c>
      <c r="BJ302" s="32">
        <v>4.7300000000000004</v>
      </c>
      <c r="BK302" s="32">
        <v>3</v>
      </c>
      <c r="BL302" s="32">
        <v>10.49</v>
      </c>
      <c r="BM302" s="32">
        <v>3</v>
      </c>
      <c r="BN302" s="241">
        <f t="shared" si="77"/>
        <v>8.6141840277777784E-2</v>
      </c>
      <c r="BO302" s="32">
        <v>9.99</v>
      </c>
      <c r="BP302" s="322"/>
      <c r="BQ302" s="322"/>
      <c r="BR302" s="241" t="s">
        <v>733</v>
      </c>
      <c r="BS302" s="241">
        <v>3</v>
      </c>
      <c r="BT302" s="241">
        <v>16</v>
      </c>
      <c r="BU302" s="241">
        <v>9</v>
      </c>
      <c r="BV302" s="241">
        <f t="shared" si="78"/>
        <v>432</v>
      </c>
      <c r="BW302" s="241">
        <f t="shared" si="79"/>
        <v>4365.68</v>
      </c>
      <c r="BX302" s="241" t="s">
        <v>890</v>
      </c>
      <c r="BY302" s="270" t="s">
        <v>735</v>
      </c>
      <c r="BZ302" s="1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</row>
    <row r="303" spans="1:88" s="117" customFormat="1" x14ac:dyDescent="0.25">
      <c r="A303" s="256">
        <v>41518</v>
      </c>
      <c r="B303" s="256"/>
      <c r="C303" s="211" t="s">
        <v>2578</v>
      </c>
      <c r="D303" s="250" t="s">
        <v>60</v>
      </c>
      <c r="E303" s="211" t="s">
        <v>2520</v>
      </c>
      <c r="F303" s="292" t="s">
        <v>2579</v>
      </c>
      <c r="G303" s="211" t="s">
        <v>2580</v>
      </c>
      <c r="H303" s="211" t="s">
        <v>2581</v>
      </c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>
        <v>54.57</v>
      </c>
      <c r="AS303" s="240"/>
      <c r="AT303" s="240"/>
      <c r="AU303" s="240"/>
      <c r="AV303" s="240"/>
      <c r="AW303" s="240"/>
      <c r="AX303" s="241"/>
      <c r="AY303" s="240"/>
      <c r="AZ303" s="240"/>
      <c r="BA303" s="240"/>
      <c r="BB303" s="240"/>
      <c r="BC303" s="240"/>
      <c r="BD303" s="240"/>
      <c r="BE303" s="240"/>
      <c r="BF303" s="240"/>
      <c r="BG303" s="240"/>
      <c r="BH303" s="240"/>
      <c r="BI303" s="240"/>
      <c r="BJ303" s="240"/>
      <c r="BK303" s="240"/>
      <c r="BL303" s="240"/>
      <c r="BM303" s="240"/>
      <c r="BN303" s="240"/>
      <c r="BO303" s="240"/>
      <c r="BP303" s="240"/>
      <c r="BQ303" s="240"/>
      <c r="BR303" s="241" t="s">
        <v>733</v>
      </c>
      <c r="BS303" s="240"/>
      <c r="BT303" s="240"/>
      <c r="BU303" s="240"/>
      <c r="BV303" s="240"/>
      <c r="BW303" s="241"/>
      <c r="BX303" s="240"/>
      <c r="BY303" s="270" t="s">
        <v>735</v>
      </c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</row>
    <row r="304" spans="1:88" s="117" customFormat="1" x14ac:dyDescent="0.25">
      <c r="A304" s="256">
        <v>41518</v>
      </c>
      <c r="B304" s="256"/>
      <c r="C304" s="240" t="s">
        <v>2582</v>
      </c>
      <c r="D304" s="250" t="s">
        <v>60</v>
      </c>
      <c r="E304" s="241" t="s">
        <v>2423</v>
      </c>
      <c r="F304" s="211" t="s">
        <v>2583</v>
      </c>
      <c r="G304" s="240" t="s">
        <v>2584</v>
      </c>
      <c r="H304" s="240" t="s">
        <v>2585</v>
      </c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 t="s">
        <v>2586</v>
      </c>
      <c r="V304" s="240"/>
      <c r="W304" s="240">
        <v>89117</v>
      </c>
      <c r="X304" s="240"/>
      <c r="Y304" s="240"/>
      <c r="Z304" s="240"/>
      <c r="AA304" s="240" t="s">
        <v>2587</v>
      </c>
      <c r="AB304" s="240"/>
      <c r="AC304" s="240" t="s">
        <v>2588</v>
      </c>
      <c r="AD304" s="240"/>
      <c r="AE304" s="240"/>
      <c r="AF304" s="240"/>
      <c r="AG304" s="240"/>
      <c r="AH304" s="240"/>
      <c r="AI304" s="240"/>
      <c r="AJ304" s="240"/>
      <c r="AK304" s="240">
        <v>4117</v>
      </c>
      <c r="AL304" s="240"/>
      <c r="AM304" s="240"/>
      <c r="AN304" s="240"/>
      <c r="AO304" s="240"/>
      <c r="AP304" s="240"/>
      <c r="AQ304" s="240">
        <v>24117</v>
      </c>
      <c r="AR304" s="240">
        <v>9.44</v>
      </c>
      <c r="AS304" s="240"/>
      <c r="AT304" s="240"/>
      <c r="AU304" s="240"/>
      <c r="AV304" s="240"/>
      <c r="AW304" s="240"/>
      <c r="AX304" s="241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0"/>
      <c r="BJ304" s="240"/>
      <c r="BK304" s="240"/>
      <c r="BL304" s="240"/>
      <c r="BM304" s="240"/>
      <c r="BN304" s="240"/>
      <c r="BO304" s="240"/>
      <c r="BP304" s="240"/>
      <c r="BQ304" s="240"/>
      <c r="BR304" s="241" t="s">
        <v>733</v>
      </c>
      <c r="BS304" s="240"/>
      <c r="BT304" s="240">
        <v>26</v>
      </c>
      <c r="BU304" s="240">
        <v>7</v>
      </c>
      <c r="BV304" s="240">
        <v>546</v>
      </c>
      <c r="BW304" s="241"/>
      <c r="BX304" s="240"/>
      <c r="BY304" s="270" t="s">
        <v>735</v>
      </c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</row>
    <row r="305" spans="1:88" s="117" customFormat="1" x14ac:dyDescent="0.25">
      <c r="A305" s="256">
        <v>41518</v>
      </c>
      <c r="B305" s="256"/>
      <c r="C305" s="240" t="s">
        <v>2589</v>
      </c>
      <c r="D305" s="250" t="s">
        <v>60</v>
      </c>
      <c r="E305" s="241" t="s">
        <v>697</v>
      </c>
      <c r="F305" s="284" t="s">
        <v>2590</v>
      </c>
      <c r="G305" s="240" t="s">
        <v>789</v>
      </c>
      <c r="H305" s="240">
        <v>87720899</v>
      </c>
      <c r="I305" s="240" t="s">
        <v>984</v>
      </c>
      <c r="J305" s="240" t="s">
        <v>2591</v>
      </c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 t="s">
        <v>2592</v>
      </c>
      <c r="V305" s="240"/>
      <c r="W305" s="240">
        <v>87795</v>
      </c>
      <c r="X305" s="240"/>
      <c r="Y305" s="240" t="s">
        <v>2593</v>
      </c>
      <c r="Z305" s="240"/>
      <c r="AA305" s="240" t="s">
        <v>2594</v>
      </c>
      <c r="AB305" s="240"/>
      <c r="AC305" s="240" t="s">
        <v>2595</v>
      </c>
      <c r="AD305" s="240" t="s">
        <v>2596</v>
      </c>
      <c r="AE305" s="240"/>
      <c r="AF305" s="240"/>
      <c r="AG305" s="240"/>
      <c r="AH305" s="240" t="s">
        <v>2597</v>
      </c>
      <c r="AI305" s="240"/>
      <c r="AJ305" s="240"/>
      <c r="AK305" s="240">
        <v>2795</v>
      </c>
      <c r="AL305" s="240"/>
      <c r="AM305" s="240"/>
      <c r="AN305" s="240"/>
      <c r="AO305" s="240"/>
      <c r="AP305" s="240"/>
      <c r="AQ305" s="240">
        <v>42795</v>
      </c>
      <c r="AR305" s="240">
        <v>45.51</v>
      </c>
      <c r="AS305" s="240"/>
      <c r="AT305" s="240"/>
      <c r="AU305" s="240"/>
      <c r="AV305" s="240"/>
      <c r="AW305" s="240"/>
      <c r="AX305" s="241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1" t="s">
        <v>733</v>
      </c>
      <c r="BS305" s="240"/>
      <c r="BT305" s="240">
        <v>136</v>
      </c>
      <c r="BU305" s="240">
        <v>3</v>
      </c>
      <c r="BV305" s="240">
        <v>408</v>
      </c>
      <c r="BW305" s="241"/>
      <c r="BX305" s="240"/>
      <c r="BY305" s="270" t="s">
        <v>735</v>
      </c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</row>
    <row r="306" spans="1:88" s="117" customFormat="1" ht="30" x14ac:dyDescent="0.25">
      <c r="A306" s="256">
        <v>41518</v>
      </c>
      <c r="B306" s="256"/>
      <c r="C306" s="240" t="s">
        <v>2598</v>
      </c>
      <c r="D306" s="250" t="s">
        <v>60</v>
      </c>
      <c r="E306" s="241" t="s">
        <v>697</v>
      </c>
      <c r="F306" s="284" t="s">
        <v>2599</v>
      </c>
      <c r="G306" s="240" t="s">
        <v>860</v>
      </c>
      <c r="H306" s="240">
        <v>3903343</v>
      </c>
      <c r="I306" s="240" t="s">
        <v>1482</v>
      </c>
      <c r="J306" s="240" t="s">
        <v>2600</v>
      </c>
      <c r="K306" s="240" t="s">
        <v>2601</v>
      </c>
      <c r="L306" s="240" t="s">
        <v>2602</v>
      </c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>
        <v>395.9</v>
      </c>
      <c r="AS306" s="240"/>
      <c r="AT306" s="240"/>
      <c r="AU306" s="240"/>
      <c r="AV306" s="240"/>
      <c r="AW306" s="240"/>
      <c r="AX306" s="241"/>
      <c r="AY306" s="240"/>
      <c r="AZ306" s="240"/>
      <c r="BA306" s="240"/>
      <c r="BB306" s="240"/>
      <c r="BC306" s="240"/>
      <c r="BD306" s="240"/>
      <c r="BE306" s="240"/>
      <c r="BF306" s="240"/>
      <c r="BG306" s="240"/>
      <c r="BH306" s="240"/>
      <c r="BI306" s="240"/>
      <c r="BJ306" s="240"/>
      <c r="BK306" s="240"/>
      <c r="BL306" s="240"/>
      <c r="BM306" s="240"/>
      <c r="BN306" s="240"/>
      <c r="BO306" s="240"/>
      <c r="BP306" s="240"/>
      <c r="BQ306" s="240"/>
      <c r="BR306" s="241" t="s">
        <v>733</v>
      </c>
      <c r="BS306" s="240"/>
      <c r="BT306" s="240">
        <v>4</v>
      </c>
      <c r="BU306" s="240">
        <v>4</v>
      </c>
      <c r="BV306" s="240">
        <v>16</v>
      </c>
      <c r="BW306" s="241"/>
      <c r="BX306" s="240"/>
      <c r="BY306" s="270" t="s">
        <v>735</v>
      </c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</row>
    <row r="307" spans="1:88" s="117" customFormat="1" x14ac:dyDescent="0.25">
      <c r="A307" s="256">
        <v>41518</v>
      </c>
      <c r="B307" s="256"/>
      <c r="C307" s="240" t="s">
        <v>2603</v>
      </c>
      <c r="D307" s="250" t="s">
        <v>60</v>
      </c>
      <c r="E307" s="241" t="s">
        <v>2604</v>
      </c>
      <c r="F307" s="284" t="s">
        <v>2605</v>
      </c>
      <c r="G307" s="240" t="s">
        <v>1147</v>
      </c>
      <c r="H307" s="240" t="s">
        <v>2606</v>
      </c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>
        <v>84708</v>
      </c>
      <c r="X307" s="240"/>
      <c r="Y307" s="240"/>
      <c r="Z307" s="240"/>
      <c r="AA307" s="240" t="s">
        <v>2607</v>
      </c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>
        <v>7708</v>
      </c>
      <c r="AL307" s="240"/>
      <c r="AM307" s="240"/>
      <c r="AN307" s="240"/>
      <c r="AO307" s="240"/>
      <c r="AP307" s="240"/>
      <c r="AQ307" s="240">
        <v>57708</v>
      </c>
      <c r="AR307" s="240">
        <v>50.65</v>
      </c>
      <c r="AS307" s="240"/>
      <c r="AT307" s="240"/>
      <c r="AU307" s="240"/>
      <c r="AV307" s="240"/>
      <c r="AW307" s="240"/>
      <c r="AX307" s="241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1" t="s">
        <v>733</v>
      </c>
      <c r="BS307" s="240"/>
      <c r="BT307" s="240">
        <v>10</v>
      </c>
      <c r="BU307" s="240">
        <v>3</v>
      </c>
      <c r="BV307" s="240">
        <v>180</v>
      </c>
      <c r="BW307" s="241"/>
      <c r="BX307" s="240"/>
      <c r="BY307" s="270" t="s">
        <v>735</v>
      </c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</row>
    <row r="308" spans="1:88" s="117" customFormat="1" x14ac:dyDescent="0.25">
      <c r="A308" s="256">
        <v>41518</v>
      </c>
      <c r="B308" s="256"/>
      <c r="C308" s="241" t="s">
        <v>2608</v>
      </c>
      <c r="D308" s="250" t="s">
        <v>60</v>
      </c>
      <c r="E308" s="241" t="s">
        <v>2488</v>
      </c>
      <c r="F308" s="296" t="s">
        <v>2609</v>
      </c>
      <c r="G308" s="240" t="s">
        <v>2610</v>
      </c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>
        <v>91.15</v>
      </c>
      <c r="AS308" s="240"/>
      <c r="AT308" s="240"/>
      <c r="AU308" s="240"/>
      <c r="AV308" s="240"/>
      <c r="AW308" s="240"/>
      <c r="AX308" s="241"/>
      <c r="AY308" s="241"/>
      <c r="AZ308" s="241"/>
      <c r="BA308" s="241"/>
      <c r="BB308" s="241"/>
      <c r="BC308" s="241"/>
      <c r="BD308" s="241"/>
      <c r="BE308" s="241"/>
      <c r="BF308" s="241"/>
      <c r="BG308" s="241"/>
      <c r="BH308" s="241"/>
      <c r="BI308" s="241"/>
      <c r="BJ308" s="241"/>
      <c r="BK308" s="241"/>
      <c r="BL308" s="241"/>
      <c r="BM308" s="241"/>
      <c r="BN308" s="241"/>
      <c r="BO308" s="241"/>
      <c r="BP308" s="241"/>
      <c r="BQ308" s="241"/>
      <c r="BR308" s="241" t="s">
        <v>733</v>
      </c>
      <c r="BS308" s="241"/>
      <c r="BT308" s="241"/>
      <c r="BU308" s="241"/>
      <c r="BV308" s="241"/>
      <c r="BW308" s="241"/>
      <c r="BX308" s="241"/>
      <c r="BY308" s="270" t="s">
        <v>783</v>
      </c>
      <c r="BZ308" s="1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</row>
    <row r="309" spans="1:88" s="117" customFormat="1" x14ac:dyDescent="0.25">
      <c r="A309" s="256">
        <v>41334</v>
      </c>
      <c r="B309" s="256"/>
      <c r="C309" s="28" t="s">
        <v>2611</v>
      </c>
      <c r="D309" s="250" t="s">
        <v>60</v>
      </c>
      <c r="E309" s="240" t="s">
        <v>697</v>
      </c>
      <c r="F309" s="284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>
        <v>41.63</v>
      </c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0"/>
      <c r="BS309" s="240"/>
      <c r="BT309" s="240"/>
      <c r="BU309" s="240"/>
      <c r="BV309" s="240"/>
      <c r="BW309" s="240"/>
      <c r="BX309" s="240"/>
      <c r="BY309" s="240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</row>
    <row r="310" spans="1:88" s="117" customFormat="1" x14ac:dyDescent="0.25">
      <c r="A310" s="256">
        <v>41334</v>
      </c>
      <c r="B310" s="256"/>
      <c r="C310" s="28" t="s">
        <v>2612</v>
      </c>
      <c r="D310" s="250" t="s">
        <v>60</v>
      </c>
      <c r="E310" s="240"/>
      <c r="F310" s="284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>
        <v>8.56</v>
      </c>
      <c r="AS310" s="240"/>
      <c r="AT310" s="240"/>
      <c r="AU310" s="240"/>
      <c r="AV310" s="240"/>
      <c r="AW310" s="240"/>
      <c r="AX310" s="240"/>
      <c r="AY310" s="240"/>
      <c r="AZ310" s="240"/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0"/>
      <c r="BM310" s="240"/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0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</row>
    <row r="311" spans="1:88" s="117" customFormat="1" x14ac:dyDescent="0.25">
      <c r="A311" s="256">
        <v>41334</v>
      </c>
      <c r="B311" s="256"/>
      <c r="C311" s="28" t="s">
        <v>2613</v>
      </c>
      <c r="D311" s="250" t="s">
        <v>60</v>
      </c>
      <c r="E311" s="240" t="s">
        <v>697</v>
      </c>
      <c r="F311" s="284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>
        <f>VLOOKUP(C311,[1]Exp!$A$1:$C$65536,3,0)</f>
        <v>23.21</v>
      </c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</row>
    <row r="312" spans="1:88" s="117" customFormat="1" x14ac:dyDescent="0.25">
      <c r="A312" s="256">
        <v>41334</v>
      </c>
      <c r="B312" s="256"/>
      <c r="C312" s="27" t="s">
        <v>2614</v>
      </c>
      <c r="D312" s="250" t="s">
        <v>60</v>
      </c>
      <c r="E312" s="240"/>
      <c r="F312" s="284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>
        <f>VLOOKUP(C312,[1]Exp!$A$1:$C$65536,3,0)</f>
        <v>35.97</v>
      </c>
      <c r="AS312" s="159">
        <v>0.5</v>
      </c>
      <c r="AT312" s="191">
        <v>0.55000000000000004</v>
      </c>
      <c r="AU312" s="192">
        <v>0.4</v>
      </c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</row>
    <row r="313" spans="1:88" s="117" customFormat="1" x14ac:dyDescent="0.25">
      <c r="A313" s="284" t="s">
        <v>2615</v>
      </c>
      <c r="B313" s="284"/>
      <c r="C313" s="299" t="s">
        <v>2616</v>
      </c>
      <c r="D313" s="250" t="s">
        <v>60</v>
      </c>
      <c r="E313" s="240" t="s">
        <v>697</v>
      </c>
      <c r="F313" s="284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>
        <f>VLOOKUP(C313,[1]Exp!$A$1:$C$65536,3,0)</f>
        <v>108.17</v>
      </c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</row>
    <row r="314" spans="1:88" s="117" customFormat="1" x14ac:dyDescent="0.25">
      <c r="A314" s="284" t="s">
        <v>2615</v>
      </c>
      <c r="B314" s="284"/>
      <c r="C314" s="299" t="s">
        <v>2617</v>
      </c>
      <c r="D314" s="250" t="s">
        <v>60</v>
      </c>
      <c r="E314" s="240" t="s">
        <v>697</v>
      </c>
      <c r="F314" s="284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>
        <f>VLOOKUP(C314,[1]Exp!$A$1:$C$65536,3,0)</f>
        <v>40.67</v>
      </c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</row>
    <row r="315" spans="1:88" s="117" customFormat="1" x14ac:dyDescent="0.25">
      <c r="A315" s="284" t="s">
        <v>2615</v>
      </c>
      <c r="B315" s="284"/>
      <c r="C315" s="241" t="s">
        <v>2618</v>
      </c>
      <c r="D315" s="250" t="s">
        <v>60</v>
      </c>
      <c r="E315" s="240" t="s">
        <v>697</v>
      </c>
      <c r="F315" s="284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>
        <f>VLOOKUP(C315,[1]Exp!$A$1:$C$65536,3,0)</f>
        <v>74.150000000000006</v>
      </c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</row>
    <row r="316" spans="1:88" s="117" customFormat="1" x14ac:dyDescent="0.25">
      <c r="A316" s="284" t="s">
        <v>2615</v>
      </c>
      <c r="B316" s="284"/>
      <c r="C316" s="241" t="s">
        <v>2619</v>
      </c>
      <c r="D316" s="250" t="s">
        <v>60</v>
      </c>
      <c r="E316" s="240" t="s">
        <v>697</v>
      </c>
      <c r="F316" s="284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>
        <f>VLOOKUP(C316,[1]Exp!$A$1:$C$65536,3,0)</f>
        <v>69.58</v>
      </c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</row>
    <row r="317" spans="1:88" s="117" customFormat="1" x14ac:dyDescent="0.25">
      <c r="A317" s="284" t="s">
        <v>2615</v>
      </c>
      <c r="B317" s="284"/>
      <c r="C317" s="299" t="s">
        <v>2620</v>
      </c>
      <c r="D317" s="250" t="s">
        <v>60</v>
      </c>
      <c r="E317" s="240" t="s">
        <v>65</v>
      </c>
      <c r="F317" s="284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>
        <f>VLOOKUP(C317,[1]Exp!$A$1:$C$65536,3,0)</f>
        <v>25.05</v>
      </c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</row>
    <row r="318" spans="1:88" s="117" customFormat="1" x14ac:dyDescent="0.25">
      <c r="A318" s="284" t="s">
        <v>2615</v>
      </c>
      <c r="B318" s="284"/>
      <c r="C318" s="244" t="s">
        <v>2621</v>
      </c>
      <c r="D318" s="250" t="s">
        <v>60</v>
      </c>
      <c r="E318" s="240" t="s">
        <v>65</v>
      </c>
      <c r="F318" s="284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>
        <f>VLOOKUP(C318,[1]Exp!$A$1:$C$65536,3,0)</f>
        <v>34.57</v>
      </c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</row>
    <row r="319" spans="1:88" s="117" customFormat="1" x14ac:dyDescent="0.25">
      <c r="A319" s="284" t="s">
        <v>2615</v>
      </c>
      <c r="B319" s="284"/>
      <c r="C319" s="241" t="s">
        <v>2622</v>
      </c>
      <c r="D319" s="250" t="s">
        <v>60</v>
      </c>
      <c r="E319" s="240" t="s">
        <v>65</v>
      </c>
      <c r="F319" s="284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>
        <f>VLOOKUP(C319,[1]Exp!$A$1:$C$65536,3,0)</f>
        <v>59.95</v>
      </c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</row>
    <row r="320" spans="1:88" s="117" customFormat="1" x14ac:dyDescent="0.25">
      <c r="A320" s="284" t="s">
        <v>2615</v>
      </c>
      <c r="B320" s="284"/>
      <c r="C320" s="241" t="s">
        <v>2623</v>
      </c>
      <c r="D320" s="250" t="s">
        <v>60</v>
      </c>
      <c r="E320" s="240" t="s">
        <v>65</v>
      </c>
      <c r="F320" s="284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>
        <f>VLOOKUP(C320,[1]Exp!$A$1:$C$65536,3,0)</f>
        <v>21.18</v>
      </c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</row>
    <row r="321" spans="1:88" s="117" customFormat="1" x14ac:dyDescent="0.25">
      <c r="A321" s="284" t="s">
        <v>2615</v>
      </c>
      <c r="B321" s="284"/>
      <c r="C321" s="241" t="s">
        <v>2624</v>
      </c>
      <c r="D321" s="250" t="s">
        <v>60</v>
      </c>
      <c r="E321" s="240" t="s">
        <v>65</v>
      </c>
      <c r="F321" s="284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>
        <f>VLOOKUP(C321,[1]Exp!$A$1:$C$65536,3,0)</f>
        <v>31.79</v>
      </c>
      <c r="AS321" s="191">
        <v>0.5</v>
      </c>
      <c r="AT321" s="191">
        <v>0.55000000000000004</v>
      </c>
      <c r="AU321" s="191">
        <v>0.4</v>
      </c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</row>
    <row r="322" spans="1:88" s="117" customFormat="1" x14ac:dyDescent="0.25">
      <c r="A322" s="284" t="s">
        <v>2615</v>
      </c>
      <c r="B322" s="284"/>
      <c r="C322" s="241" t="s">
        <v>2625</v>
      </c>
      <c r="D322" s="250" t="s">
        <v>60</v>
      </c>
      <c r="E322" s="240" t="s">
        <v>65</v>
      </c>
      <c r="F322" s="284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>
        <f>VLOOKUP(C322,[1]Exp!$A$1:$C$65536,3,0)</f>
        <v>39.49</v>
      </c>
      <c r="AS322" s="191">
        <v>0.5</v>
      </c>
      <c r="AT322" s="191">
        <v>0.55000000000000004</v>
      </c>
      <c r="AU322" s="191">
        <v>0.4</v>
      </c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</row>
    <row r="323" spans="1:88" s="117" customFormat="1" x14ac:dyDescent="0.25">
      <c r="A323" s="284" t="s">
        <v>2615</v>
      </c>
      <c r="B323" s="284"/>
      <c r="C323" s="296" t="s">
        <v>2626</v>
      </c>
      <c r="D323" s="250" t="s">
        <v>60</v>
      </c>
      <c r="E323" s="240" t="s">
        <v>65</v>
      </c>
      <c r="F323" s="284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>
        <f>VLOOKUP(C323,[1]Exp!$A$1:$C$65536,3,0)</f>
        <v>28.11</v>
      </c>
      <c r="AS323" s="191">
        <v>0.5</v>
      </c>
      <c r="AT323" s="191">
        <v>0.55000000000000004</v>
      </c>
      <c r="AU323" s="191">
        <v>0.4</v>
      </c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</row>
    <row r="324" spans="1:88" s="117" customFormat="1" x14ac:dyDescent="0.25">
      <c r="A324" s="284" t="s">
        <v>2615</v>
      </c>
      <c r="B324" s="284"/>
      <c r="C324" s="296" t="s">
        <v>2627</v>
      </c>
      <c r="D324" s="250" t="s">
        <v>60</v>
      </c>
      <c r="E324" s="240" t="s">
        <v>65</v>
      </c>
      <c r="F324" s="284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>
        <f>VLOOKUP(C324,[1]Exp!$A$1:$C$65536,3,0)</f>
        <v>28.14</v>
      </c>
      <c r="AS324" s="191">
        <v>0.5</v>
      </c>
      <c r="AT324" s="191">
        <v>0.55000000000000004</v>
      </c>
      <c r="AU324" s="191">
        <v>0.4</v>
      </c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</row>
    <row r="325" spans="1:88" s="117" customFormat="1" x14ac:dyDescent="0.25">
      <c r="A325" s="284" t="s">
        <v>2615</v>
      </c>
      <c r="B325" s="284"/>
      <c r="C325" s="244" t="s">
        <v>1768</v>
      </c>
      <c r="D325" s="250" t="s">
        <v>60</v>
      </c>
      <c r="E325" s="240" t="s">
        <v>2628</v>
      </c>
      <c r="F325" s="284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>
        <f>VLOOKUP(C325,[1]Exp!$A$1:$C$65536,3,0)</f>
        <v>78.010000000000005</v>
      </c>
      <c r="AS325" s="159">
        <v>0.5</v>
      </c>
      <c r="AT325" s="191">
        <v>0.55000000000000004</v>
      </c>
      <c r="AU325" s="192">
        <v>0.4</v>
      </c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</row>
    <row r="326" spans="1:88" s="117" customFormat="1" x14ac:dyDescent="0.25">
      <c r="A326" s="284" t="s">
        <v>2615</v>
      </c>
      <c r="B326" s="284"/>
      <c r="C326" s="296" t="s">
        <v>2629</v>
      </c>
      <c r="D326" s="250" t="s">
        <v>60</v>
      </c>
      <c r="E326" s="240" t="s">
        <v>2628</v>
      </c>
      <c r="F326" s="284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>
        <f>VLOOKUP(C326,[1]Exp!$A$1:$C$65536,3,0)</f>
        <v>23.9</v>
      </c>
      <c r="AS326" s="159">
        <v>0.5</v>
      </c>
      <c r="AT326" s="191">
        <v>0.55000000000000004</v>
      </c>
      <c r="AU326" s="192">
        <v>0.4</v>
      </c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</row>
    <row r="327" spans="1:88" s="117" customFormat="1" x14ac:dyDescent="0.25">
      <c r="A327" s="284" t="s">
        <v>2615</v>
      </c>
      <c r="B327" s="284"/>
      <c r="C327" s="296" t="s">
        <v>2630</v>
      </c>
      <c r="D327" s="250" t="s">
        <v>60</v>
      </c>
      <c r="E327" s="240" t="s">
        <v>2628</v>
      </c>
      <c r="F327" s="284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>
        <f>VLOOKUP(C327,[1]Exp!$A$1:$C$65536,3,0)</f>
        <v>46.19</v>
      </c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</row>
    <row r="328" spans="1:88" s="117" customFormat="1" x14ac:dyDescent="0.25">
      <c r="A328" s="284" t="s">
        <v>2615</v>
      </c>
      <c r="B328" s="284"/>
      <c r="C328" s="241" t="s">
        <v>2631</v>
      </c>
      <c r="D328" s="250" t="s">
        <v>60</v>
      </c>
      <c r="E328" s="240" t="s">
        <v>2632</v>
      </c>
      <c r="F328" s="284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>
        <f>VLOOKUP(C328,[1]Exp!$A$1:$C$65536,3,0)</f>
        <v>28.4</v>
      </c>
      <c r="AS328" s="240"/>
      <c r="AT328" s="240"/>
      <c r="AU328" s="240"/>
      <c r="AV328" s="240"/>
      <c r="AW328" s="240"/>
      <c r="AX328" s="240"/>
      <c r="AY328" s="240"/>
      <c r="AZ328" s="240"/>
      <c r="BA328" s="240"/>
      <c r="BB328" s="240"/>
      <c r="BC328" s="240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240"/>
      <c r="BN328" s="240"/>
      <c r="BO328" s="240"/>
      <c r="BP328" s="240"/>
      <c r="BQ328" s="240"/>
      <c r="BR328" s="240"/>
      <c r="BS328" s="240"/>
      <c r="BT328" s="240"/>
      <c r="BU328" s="240"/>
      <c r="BV328" s="240"/>
      <c r="BW328" s="240"/>
      <c r="BX328" s="240"/>
      <c r="BY328" s="240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</row>
  </sheetData>
  <mergeCells count="101">
    <mergeCell ref="BK5:BO5"/>
    <mergeCell ref="A5:F5"/>
    <mergeCell ref="G5:T5"/>
    <mergeCell ref="U5:AQ5"/>
    <mergeCell ref="AR5:AW5"/>
    <mergeCell ref="AX5:AY5"/>
    <mergeCell ref="BF26:BJ26"/>
    <mergeCell ref="BF27:BJ27"/>
    <mergeCell ref="BF28:BJ28"/>
    <mergeCell ref="AZ5:BE5"/>
    <mergeCell ref="BF5:BJ5"/>
    <mergeCell ref="BF21:BJ21"/>
    <mergeCell ref="BF23:BJ23"/>
    <mergeCell ref="BF24:BJ24"/>
    <mergeCell ref="BF22:BJ22"/>
    <mergeCell ref="BF18:BJ18"/>
    <mergeCell ref="BF19:BJ19"/>
    <mergeCell ref="BF20:BJ20"/>
    <mergeCell ref="BF16:BJ16"/>
    <mergeCell ref="BF11:BJ11"/>
    <mergeCell ref="BF13:BJ13"/>
    <mergeCell ref="BF14:BJ14"/>
    <mergeCell ref="BF7:BJ7"/>
    <mergeCell ref="BF9:BJ9"/>
    <mergeCell ref="BK80:BO80"/>
    <mergeCell ref="BK81:BO81"/>
    <mergeCell ref="BF158:BJ158"/>
    <mergeCell ref="BK99:BO99"/>
    <mergeCell ref="BK113:BO113"/>
    <mergeCell ref="BF114:BJ114"/>
    <mergeCell ref="BF137:BJ137"/>
    <mergeCell ref="BF139:BJ139"/>
    <mergeCell ref="BF145:BJ145"/>
    <mergeCell ref="BF146:BJ146"/>
    <mergeCell ref="BF147:BJ147"/>
    <mergeCell ref="BF148:BJ148"/>
    <mergeCell ref="BF149:BJ149"/>
    <mergeCell ref="BF153:BJ153"/>
    <mergeCell ref="BK82:BO82"/>
    <mergeCell ref="BP5:BY5"/>
    <mergeCell ref="BF283:BJ283"/>
    <mergeCell ref="BF270:BJ270"/>
    <mergeCell ref="BF271:BJ271"/>
    <mergeCell ref="BF277:BJ277"/>
    <mergeCell ref="BF278:BJ278"/>
    <mergeCell ref="BF279:BJ279"/>
    <mergeCell ref="BF280:BJ280"/>
    <mergeCell ref="BF258:BJ258"/>
    <mergeCell ref="BF267:BJ267"/>
    <mergeCell ref="BF56:BJ56"/>
    <mergeCell ref="BF281:BJ281"/>
    <mergeCell ref="BF282:BJ282"/>
    <mergeCell ref="BF243:BJ243"/>
    <mergeCell ref="BF232:BJ232"/>
    <mergeCell ref="BF177:BJ177"/>
    <mergeCell ref="BF228:BJ228"/>
    <mergeCell ref="BF217:BJ217"/>
    <mergeCell ref="BF161:BJ161"/>
    <mergeCell ref="BF162:BJ162"/>
    <mergeCell ref="BF163:BJ163"/>
    <mergeCell ref="BF164:BJ164"/>
    <mergeCell ref="BF165:BJ165"/>
    <mergeCell ref="BF166:BJ166"/>
    <mergeCell ref="BF230:BJ230"/>
    <mergeCell ref="BF12:BJ12"/>
    <mergeCell ref="BF269:BJ269"/>
    <mergeCell ref="BF241:BJ241"/>
    <mergeCell ref="BF242:BJ242"/>
    <mergeCell ref="BF268:BJ268"/>
    <mergeCell ref="BF237:BJ237"/>
    <mergeCell ref="BF254:BJ254"/>
    <mergeCell ref="BF250:BJ250"/>
    <mergeCell ref="BF251:BJ251"/>
    <mergeCell ref="BF245:BJ245"/>
    <mergeCell ref="BF15:BJ15"/>
    <mergeCell ref="BF178:BJ178"/>
    <mergeCell ref="BF179:BJ179"/>
    <mergeCell ref="BF244:BJ244"/>
    <mergeCell ref="BF223:BJ223"/>
    <mergeCell ref="BF167:BJ167"/>
    <mergeCell ref="BF169:BI169"/>
    <mergeCell ref="BF174:BJ174"/>
    <mergeCell ref="BF175:BJ175"/>
    <mergeCell ref="BF176:BJ176"/>
    <mergeCell ref="BF199:BJ199"/>
    <mergeCell ref="BF197:BJ197"/>
    <mergeCell ref="BF10:BJ10"/>
    <mergeCell ref="BF229:BJ229"/>
    <mergeCell ref="BF226:BJ226"/>
    <mergeCell ref="BF200:BJ200"/>
    <mergeCell ref="BF201:BJ201"/>
    <mergeCell ref="BF202:BJ202"/>
    <mergeCell ref="BF185:BJ185"/>
    <mergeCell ref="BF186:BJ186"/>
    <mergeCell ref="BF193:BJ193"/>
    <mergeCell ref="BF194:BJ194"/>
    <mergeCell ref="BF196:BJ196"/>
    <mergeCell ref="BF183:BJ183"/>
    <mergeCell ref="BF184:BJ184"/>
    <mergeCell ref="BF198:BJ198"/>
    <mergeCell ref="BF227:BJ227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07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49" customWidth="1"/>
    <col min="2" max="2" width="20.28515625" style="49" customWidth="1"/>
    <col min="3" max="3" width="42.28515625" style="49" customWidth="1"/>
    <col min="4" max="256" width="9.140625" style="49"/>
    <col min="257" max="257" width="13.7109375" style="49" customWidth="1"/>
    <col min="258" max="258" width="12.28515625" style="49" bestFit="1" customWidth="1"/>
    <col min="259" max="512" width="9.140625" style="49"/>
    <col min="513" max="513" width="13.7109375" style="49" customWidth="1"/>
    <col min="514" max="514" width="12.28515625" style="49" bestFit="1" customWidth="1"/>
    <col min="515" max="768" width="9.140625" style="49"/>
    <col min="769" max="769" width="13.7109375" style="49" customWidth="1"/>
    <col min="770" max="770" width="12.28515625" style="49" bestFit="1" customWidth="1"/>
    <col min="771" max="1024" width="9.140625" style="49"/>
    <col min="1025" max="1025" width="13.7109375" style="49" customWidth="1"/>
    <col min="1026" max="1026" width="12.28515625" style="49" bestFit="1" customWidth="1"/>
    <col min="1027" max="1280" width="9.140625" style="49"/>
    <col min="1281" max="1281" width="13.7109375" style="49" customWidth="1"/>
    <col min="1282" max="1282" width="12.28515625" style="49" bestFit="1" customWidth="1"/>
    <col min="1283" max="1536" width="9.140625" style="49"/>
    <col min="1537" max="1537" width="13.7109375" style="49" customWidth="1"/>
    <col min="1538" max="1538" width="12.28515625" style="49" bestFit="1" customWidth="1"/>
    <col min="1539" max="1792" width="9.140625" style="49"/>
    <col min="1793" max="1793" width="13.7109375" style="49" customWidth="1"/>
    <col min="1794" max="1794" width="12.28515625" style="49" bestFit="1" customWidth="1"/>
    <col min="1795" max="2048" width="9.140625" style="49"/>
    <col min="2049" max="2049" width="13.7109375" style="49" customWidth="1"/>
    <col min="2050" max="2050" width="12.28515625" style="49" bestFit="1" customWidth="1"/>
    <col min="2051" max="2304" width="9.140625" style="49"/>
    <col min="2305" max="2305" width="13.7109375" style="49" customWidth="1"/>
    <col min="2306" max="2306" width="12.28515625" style="49" bestFit="1" customWidth="1"/>
    <col min="2307" max="2560" width="9.140625" style="49"/>
    <col min="2561" max="2561" width="13.7109375" style="49" customWidth="1"/>
    <col min="2562" max="2562" width="12.28515625" style="49" bestFit="1" customWidth="1"/>
    <col min="2563" max="2816" width="9.140625" style="49"/>
    <col min="2817" max="2817" width="13.7109375" style="49" customWidth="1"/>
    <col min="2818" max="2818" width="12.28515625" style="49" bestFit="1" customWidth="1"/>
    <col min="2819" max="3072" width="9.140625" style="49"/>
    <col min="3073" max="3073" width="13.7109375" style="49" customWidth="1"/>
    <col min="3074" max="3074" width="12.28515625" style="49" bestFit="1" customWidth="1"/>
    <col min="3075" max="3328" width="9.140625" style="49"/>
    <col min="3329" max="3329" width="13.7109375" style="49" customWidth="1"/>
    <col min="3330" max="3330" width="12.28515625" style="49" bestFit="1" customWidth="1"/>
    <col min="3331" max="3584" width="9.140625" style="49"/>
    <col min="3585" max="3585" width="13.7109375" style="49" customWidth="1"/>
    <col min="3586" max="3586" width="12.28515625" style="49" bestFit="1" customWidth="1"/>
    <col min="3587" max="3840" width="9.140625" style="49"/>
    <col min="3841" max="3841" width="13.7109375" style="49" customWidth="1"/>
    <col min="3842" max="3842" width="12.28515625" style="49" bestFit="1" customWidth="1"/>
    <col min="3843" max="4096" width="9.140625" style="49"/>
    <col min="4097" max="4097" width="13.7109375" style="49" customWidth="1"/>
    <col min="4098" max="4098" width="12.28515625" style="49" bestFit="1" customWidth="1"/>
    <col min="4099" max="4352" width="9.140625" style="49"/>
    <col min="4353" max="4353" width="13.7109375" style="49" customWidth="1"/>
    <col min="4354" max="4354" width="12.28515625" style="49" bestFit="1" customWidth="1"/>
    <col min="4355" max="4608" width="9.140625" style="49"/>
    <col min="4609" max="4609" width="13.7109375" style="49" customWidth="1"/>
    <col min="4610" max="4610" width="12.28515625" style="49" bestFit="1" customWidth="1"/>
    <col min="4611" max="4864" width="9.140625" style="49"/>
    <col min="4865" max="4865" width="13.7109375" style="49" customWidth="1"/>
    <col min="4866" max="4866" width="12.28515625" style="49" bestFit="1" customWidth="1"/>
    <col min="4867" max="5120" width="9.140625" style="49"/>
    <col min="5121" max="5121" width="13.7109375" style="49" customWidth="1"/>
    <col min="5122" max="5122" width="12.28515625" style="49" bestFit="1" customWidth="1"/>
    <col min="5123" max="5376" width="9.140625" style="49"/>
    <col min="5377" max="5377" width="13.7109375" style="49" customWidth="1"/>
    <col min="5378" max="5378" width="12.28515625" style="49" bestFit="1" customWidth="1"/>
    <col min="5379" max="5632" width="9.140625" style="49"/>
    <col min="5633" max="5633" width="13.7109375" style="49" customWidth="1"/>
    <col min="5634" max="5634" width="12.28515625" style="49" bestFit="1" customWidth="1"/>
    <col min="5635" max="5888" width="9.140625" style="49"/>
    <col min="5889" max="5889" width="13.7109375" style="49" customWidth="1"/>
    <col min="5890" max="5890" width="12.28515625" style="49" bestFit="1" customWidth="1"/>
    <col min="5891" max="6144" width="9.140625" style="49"/>
    <col min="6145" max="6145" width="13.7109375" style="49" customWidth="1"/>
    <col min="6146" max="6146" width="12.28515625" style="49" bestFit="1" customWidth="1"/>
    <col min="6147" max="6400" width="9.140625" style="49"/>
    <col min="6401" max="6401" width="13.7109375" style="49" customWidth="1"/>
    <col min="6402" max="6402" width="12.28515625" style="49" bestFit="1" customWidth="1"/>
    <col min="6403" max="6656" width="9.140625" style="49"/>
    <col min="6657" max="6657" width="13.7109375" style="49" customWidth="1"/>
    <col min="6658" max="6658" width="12.28515625" style="49" bestFit="1" customWidth="1"/>
    <col min="6659" max="6912" width="9.140625" style="49"/>
    <col min="6913" max="6913" width="13.7109375" style="49" customWidth="1"/>
    <col min="6914" max="6914" width="12.28515625" style="49" bestFit="1" customWidth="1"/>
    <col min="6915" max="7168" width="9.140625" style="49"/>
    <col min="7169" max="7169" width="13.7109375" style="49" customWidth="1"/>
    <col min="7170" max="7170" width="12.28515625" style="49" bestFit="1" customWidth="1"/>
    <col min="7171" max="7424" width="9.140625" style="49"/>
    <col min="7425" max="7425" width="13.7109375" style="49" customWidth="1"/>
    <col min="7426" max="7426" width="12.28515625" style="49" bestFit="1" customWidth="1"/>
    <col min="7427" max="7680" width="9.140625" style="49"/>
    <col min="7681" max="7681" width="13.7109375" style="49" customWidth="1"/>
    <col min="7682" max="7682" width="12.28515625" style="49" bestFit="1" customWidth="1"/>
    <col min="7683" max="7936" width="9.140625" style="49"/>
    <col min="7937" max="7937" width="13.7109375" style="49" customWidth="1"/>
    <col min="7938" max="7938" width="12.28515625" style="49" bestFit="1" customWidth="1"/>
    <col min="7939" max="8192" width="9.140625" style="49"/>
    <col min="8193" max="8193" width="13.7109375" style="49" customWidth="1"/>
    <col min="8194" max="8194" width="12.28515625" style="49" bestFit="1" customWidth="1"/>
    <col min="8195" max="8448" width="9.140625" style="49"/>
    <col min="8449" max="8449" width="13.7109375" style="49" customWidth="1"/>
    <col min="8450" max="8450" width="12.28515625" style="49" bestFit="1" customWidth="1"/>
    <col min="8451" max="8704" width="9.140625" style="49"/>
    <col min="8705" max="8705" width="13.7109375" style="49" customWidth="1"/>
    <col min="8706" max="8706" width="12.28515625" style="49" bestFit="1" customWidth="1"/>
    <col min="8707" max="8960" width="9.140625" style="49"/>
    <col min="8961" max="8961" width="13.7109375" style="49" customWidth="1"/>
    <col min="8962" max="8962" width="12.28515625" style="49" bestFit="1" customWidth="1"/>
    <col min="8963" max="9216" width="9.140625" style="49"/>
    <col min="9217" max="9217" width="13.7109375" style="49" customWidth="1"/>
    <col min="9218" max="9218" width="12.28515625" style="49" bestFit="1" customWidth="1"/>
    <col min="9219" max="9472" width="9.140625" style="49"/>
    <col min="9473" max="9473" width="13.7109375" style="49" customWidth="1"/>
    <col min="9474" max="9474" width="12.28515625" style="49" bestFit="1" customWidth="1"/>
    <col min="9475" max="9728" width="9.140625" style="49"/>
    <col min="9729" max="9729" width="13.7109375" style="49" customWidth="1"/>
    <col min="9730" max="9730" width="12.28515625" style="49" bestFit="1" customWidth="1"/>
    <col min="9731" max="9984" width="9.140625" style="49"/>
    <col min="9985" max="9985" width="13.7109375" style="49" customWidth="1"/>
    <col min="9986" max="9986" width="12.28515625" style="49" bestFit="1" customWidth="1"/>
    <col min="9987" max="10240" width="9.140625" style="49"/>
    <col min="10241" max="10241" width="13.7109375" style="49" customWidth="1"/>
    <col min="10242" max="10242" width="12.28515625" style="49" bestFit="1" customWidth="1"/>
    <col min="10243" max="10496" width="9.140625" style="49"/>
    <col min="10497" max="10497" width="13.7109375" style="49" customWidth="1"/>
    <col min="10498" max="10498" width="12.28515625" style="49" bestFit="1" customWidth="1"/>
    <col min="10499" max="10752" width="9.140625" style="49"/>
    <col min="10753" max="10753" width="13.7109375" style="49" customWidth="1"/>
    <col min="10754" max="10754" width="12.28515625" style="49" bestFit="1" customWidth="1"/>
    <col min="10755" max="11008" width="9.140625" style="49"/>
    <col min="11009" max="11009" width="13.7109375" style="49" customWidth="1"/>
    <col min="11010" max="11010" width="12.28515625" style="49" bestFit="1" customWidth="1"/>
    <col min="11011" max="11264" width="9.140625" style="49"/>
    <col min="11265" max="11265" width="13.7109375" style="49" customWidth="1"/>
    <col min="11266" max="11266" width="12.28515625" style="49" bestFit="1" customWidth="1"/>
    <col min="11267" max="11520" width="9.140625" style="49"/>
    <col min="11521" max="11521" width="13.7109375" style="49" customWidth="1"/>
    <col min="11522" max="11522" width="12.28515625" style="49" bestFit="1" customWidth="1"/>
    <col min="11523" max="11776" width="9.140625" style="49"/>
    <col min="11777" max="11777" width="13.7109375" style="49" customWidth="1"/>
    <col min="11778" max="11778" width="12.28515625" style="49" bestFit="1" customWidth="1"/>
    <col min="11779" max="12032" width="9.140625" style="49"/>
    <col min="12033" max="12033" width="13.7109375" style="49" customWidth="1"/>
    <col min="12034" max="12034" width="12.28515625" style="49" bestFit="1" customWidth="1"/>
    <col min="12035" max="12288" width="9.140625" style="49"/>
    <col min="12289" max="12289" width="13.7109375" style="49" customWidth="1"/>
    <col min="12290" max="12290" width="12.28515625" style="49" bestFit="1" customWidth="1"/>
    <col min="12291" max="12544" width="9.140625" style="49"/>
    <col min="12545" max="12545" width="13.7109375" style="49" customWidth="1"/>
    <col min="12546" max="12546" width="12.28515625" style="49" bestFit="1" customWidth="1"/>
    <col min="12547" max="12800" width="9.140625" style="49"/>
    <col min="12801" max="12801" width="13.7109375" style="49" customWidth="1"/>
    <col min="12802" max="12802" width="12.28515625" style="49" bestFit="1" customWidth="1"/>
    <col min="12803" max="13056" width="9.140625" style="49"/>
    <col min="13057" max="13057" width="13.7109375" style="49" customWidth="1"/>
    <col min="13058" max="13058" width="12.28515625" style="49" bestFit="1" customWidth="1"/>
    <col min="13059" max="13312" width="9.140625" style="49"/>
    <col min="13313" max="13313" width="13.7109375" style="49" customWidth="1"/>
    <col min="13314" max="13314" width="12.28515625" style="49" bestFit="1" customWidth="1"/>
    <col min="13315" max="13568" width="9.140625" style="49"/>
    <col min="13569" max="13569" width="13.7109375" style="49" customWidth="1"/>
    <col min="13570" max="13570" width="12.28515625" style="49" bestFit="1" customWidth="1"/>
    <col min="13571" max="13824" width="9.140625" style="49"/>
    <col min="13825" max="13825" width="13.7109375" style="49" customWidth="1"/>
    <col min="13826" max="13826" width="12.28515625" style="49" bestFit="1" customWidth="1"/>
    <col min="13827" max="14080" width="9.140625" style="49"/>
    <col min="14081" max="14081" width="13.7109375" style="49" customWidth="1"/>
    <col min="14082" max="14082" width="12.28515625" style="49" bestFit="1" customWidth="1"/>
    <col min="14083" max="14336" width="9.140625" style="49"/>
    <col min="14337" max="14337" width="13.7109375" style="49" customWidth="1"/>
    <col min="14338" max="14338" width="12.28515625" style="49" bestFit="1" customWidth="1"/>
    <col min="14339" max="14592" width="9.140625" style="49"/>
    <col min="14593" max="14593" width="13.7109375" style="49" customWidth="1"/>
    <col min="14594" max="14594" width="12.28515625" style="49" bestFit="1" customWidth="1"/>
    <col min="14595" max="14848" width="9.140625" style="49"/>
    <col min="14849" max="14849" width="13.7109375" style="49" customWidth="1"/>
    <col min="14850" max="14850" width="12.28515625" style="49" bestFit="1" customWidth="1"/>
    <col min="14851" max="15104" width="9.140625" style="49"/>
    <col min="15105" max="15105" width="13.7109375" style="49" customWidth="1"/>
    <col min="15106" max="15106" width="12.28515625" style="49" bestFit="1" customWidth="1"/>
    <col min="15107" max="15360" width="9.140625" style="49"/>
    <col min="15361" max="15361" width="13.7109375" style="49" customWidth="1"/>
    <col min="15362" max="15362" width="12.28515625" style="49" bestFit="1" customWidth="1"/>
    <col min="15363" max="15616" width="9.140625" style="49"/>
    <col min="15617" max="15617" width="13.7109375" style="49" customWidth="1"/>
    <col min="15618" max="15618" width="12.28515625" style="49" bestFit="1" customWidth="1"/>
    <col min="15619" max="15872" width="9.140625" style="49"/>
    <col min="15873" max="15873" width="13.7109375" style="49" customWidth="1"/>
    <col min="15874" max="15874" width="12.28515625" style="49" bestFit="1" customWidth="1"/>
    <col min="15875" max="16128" width="9.140625" style="49"/>
    <col min="16129" max="16129" width="13.710937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50" t="s">
        <v>0</v>
      </c>
      <c r="B1" s="51" t="s">
        <v>75</v>
      </c>
      <c r="C1" s="52" t="s">
        <v>62</v>
      </c>
    </row>
    <row r="2" spans="1:3" x14ac:dyDescent="0.25">
      <c r="A2" s="99" t="s">
        <v>711</v>
      </c>
      <c r="B2" s="84" t="s">
        <v>78</v>
      </c>
      <c r="C2" s="91" t="s">
        <v>704</v>
      </c>
    </row>
    <row r="3" spans="1:3" x14ac:dyDescent="0.25">
      <c r="A3" s="92" t="s">
        <v>710</v>
      </c>
      <c r="B3" s="84" t="s">
        <v>78</v>
      </c>
      <c r="C3" s="84" t="s">
        <v>73</v>
      </c>
    </row>
    <row r="4" spans="1:3" x14ac:dyDescent="0.25">
      <c r="A4" s="92" t="s">
        <v>705</v>
      </c>
      <c r="B4" s="84" t="s">
        <v>78</v>
      </c>
      <c r="C4" s="84" t="s">
        <v>73</v>
      </c>
    </row>
    <row r="5" spans="1:3" x14ac:dyDescent="0.25">
      <c r="A5" s="92" t="s">
        <v>696</v>
      </c>
      <c r="B5" s="84" t="s">
        <v>78</v>
      </c>
      <c r="C5" s="84" t="s">
        <v>73</v>
      </c>
    </row>
    <row r="6" spans="1:3" x14ac:dyDescent="0.25">
      <c r="A6" s="92" t="s">
        <v>703</v>
      </c>
      <c r="B6" s="84" t="s">
        <v>78</v>
      </c>
      <c r="C6" s="84" t="s">
        <v>73</v>
      </c>
    </row>
    <row r="7" spans="1:3" x14ac:dyDescent="0.25">
      <c r="A7" s="92" t="s">
        <v>702</v>
      </c>
      <c r="B7" s="84" t="s">
        <v>78</v>
      </c>
      <c r="C7" s="91" t="s">
        <v>704</v>
      </c>
    </row>
    <row r="8" spans="1:3" x14ac:dyDescent="0.25">
      <c r="A8" s="49" t="s">
        <v>77</v>
      </c>
      <c r="B8" s="49" t="s">
        <v>78</v>
      </c>
      <c r="C8" s="49" t="s">
        <v>73</v>
      </c>
    </row>
    <row r="9" spans="1:3" x14ac:dyDescent="0.25">
      <c r="A9" s="49" t="s">
        <v>79</v>
      </c>
      <c r="B9" s="49" t="s">
        <v>78</v>
      </c>
      <c r="C9" s="49" t="s">
        <v>73</v>
      </c>
    </row>
    <row r="10" spans="1:3" x14ac:dyDescent="0.25">
      <c r="A10" s="49" t="s">
        <v>80</v>
      </c>
      <c r="B10" s="49" t="s">
        <v>78</v>
      </c>
      <c r="C10" s="49" t="s">
        <v>73</v>
      </c>
    </row>
    <row r="11" spans="1:3" x14ac:dyDescent="0.25">
      <c r="A11" s="49" t="s">
        <v>81</v>
      </c>
      <c r="B11" s="49" t="s">
        <v>78</v>
      </c>
      <c r="C11" s="49" t="s">
        <v>73</v>
      </c>
    </row>
    <row r="12" spans="1:3" x14ac:dyDescent="0.25">
      <c r="A12" s="49" t="s">
        <v>82</v>
      </c>
      <c r="B12" s="49" t="s">
        <v>78</v>
      </c>
      <c r="C12" s="49" t="s">
        <v>73</v>
      </c>
    </row>
    <row r="13" spans="1:3" x14ac:dyDescent="0.25">
      <c r="A13" s="49" t="s">
        <v>83</v>
      </c>
      <c r="B13" s="49" t="s">
        <v>78</v>
      </c>
      <c r="C13" s="49" t="s">
        <v>73</v>
      </c>
    </row>
    <row r="14" spans="1:3" x14ac:dyDescent="0.25">
      <c r="A14" s="49" t="s">
        <v>84</v>
      </c>
      <c r="B14" s="49" t="s">
        <v>78</v>
      </c>
      <c r="C14" s="49" t="s">
        <v>73</v>
      </c>
    </row>
    <row r="15" spans="1:3" x14ac:dyDescent="0.25">
      <c r="A15" s="49" t="s">
        <v>85</v>
      </c>
      <c r="B15" s="49" t="s">
        <v>78</v>
      </c>
      <c r="C15" s="49" t="s">
        <v>73</v>
      </c>
    </row>
    <row r="16" spans="1:3" x14ac:dyDescent="0.25">
      <c r="A16" s="49" t="s">
        <v>86</v>
      </c>
      <c r="B16" s="49" t="s">
        <v>78</v>
      </c>
      <c r="C16" s="49" t="s">
        <v>73</v>
      </c>
    </row>
    <row r="17" spans="1:3" x14ac:dyDescent="0.25">
      <c r="A17" s="49" t="s">
        <v>87</v>
      </c>
      <c r="B17" s="49" t="s">
        <v>78</v>
      </c>
      <c r="C17" s="49" t="s">
        <v>73</v>
      </c>
    </row>
    <row r="18" spans="1:3" x14ac:dyDescent="0.25">
      <c r="A18" s="49" t="s">
        <v>88</v>
      </c>
      <c r="B18" s="49" t="s">
        <v>78</v>
      </c>
      <c r="C18" s="49" t="s">
        <v>73</v>
      </c>
    </row>
    <row r="19" spans="1:3" x14ac:dyDescent="0.25">
      <c r="A19" s="49" t="s">
        <v>89</v>
      </c>
      <c r="B19" s="49" t="s">
        <v>78</v>
      </c>
      <c r="C19" s="49" t="s">
        <v>73</v>
      </c>
    </row>
    <row r="20" spans="1:3" x14ac:dyDescent="0.25">
      <c r="A20" s="49" t="s">
        <v>90</v>
      </c>
      <c r="B20" s="49" t="s">
        <v>78</v>
      </c>
      <c r="C20" s="49" t="s">
        <v>73</v>
      </c>
    </row>
    <row r="21" spans="1:3" x14ac:dyDescent="0.25">
      <c r="A21" s="49" t="s">
        <v>91</v>
      </c>
      <c r="B21" s="49" t="s">
        <v>78</v>
      </c>
      <c r="C21" s="49" t="s">
        <v>73</v>
      </c>
    </row>
    <row r="22" spans="1:3" x14ac:dyDescent="0.25">
      <c r="A22" s="49" t="s">
        <v>92</v>
      </c>
      <c r="B22" s="49" t="s">
        <v>78</v>
      </c>
      <c r="C22" s="49" t="s">
        <v>73</v>
      </c>
    </row>
    <row r="23" spans="1:3" x14ac:dyDescent="0.25">
      <c r="A23" s="49" t="s">
        <v>93</v>
      </c>
      <c r="B23" s="49" t="s">
        <v>78</v>
      </c>
      <c r="C23" s="49" t="s">
        <v>73</v>
      </c>
    </row>
    <row r="24" spans="1:3" x14ac:dyDescent="0.25">
      <c r="A24" s="49" t="s">
        <v>94</v>
      </c>
      <c r="B24" s="49" t="s">
        <v>78</v>
      </c>
      <c r="C24" s="49" t="s">
        <v>73</v>
      </c>
    </row>
    <row r="25" spans="1:3" x14ac:dyDescent="0.25">
      <c r="A25" s="49" t="s">
        <v>95</v>
      </c>
      <c r="B25" s="49" t="s">
        <v>78</v>
      </c>
      <c r="C25" s="49" t="s">
        <v>73</v>
      </c>
    </row>
    <row r="26" spans="1:3" x14ac:dyDescent="0.25">
      <c r="A26" s="49" t="s">
        <v>96</v>
      </c>
      <c r="B26" s="49" t="s">
        <v>78</v>
      </c>
      <c r="C26" s="49" t="s">
        <v>73</v>
      </c>
    </row>
    <row r="27" spans="1:3" x14ac:dyDescent="0.25">
      <c r="A27" s="49" t="s">
        <v>97</v>
      </c>
      <c r="B27" s="49" t="s">
        <v>78</v>
      </c>
      <c r="C27" s="49" t="s">
        <v>73</v>
      </c>
    </row>
    <row r="28" spans="1:3" x14ac:dyDescent="0.25">
      <c r="A28" s="49" t="s">
        <v>98</v>
      </c>
      <c r="B28" s="49" t="s">
        <v>78</v>
      </c>
      <c r="C28" s="49" t="s">
        <v>73</v>
      </c>
    </row>
    <row r="29" spans="1:3" x14ac:dyDescent="0.25">
      <c r="A29" s="49" t="s">
        <v>99</v>
      </c>
      <c r="B29" s="49" t="s">
        <v>78</v>
      </c>
      <c r="C29" s="49" t="s">
        <v>73</v>
      </c>
    </row>
    <row r="30" spans="1:3" x14ac:dyDescent="0.25">
      <c r="A30" s="49" t="s">
        <v>100</v>
      </c>
      <c r="B30" s="49" t="s">
        <v>78</v>
      </c>
      <c r="C30" s="49" t="s">
        <v>73</v>
      </c>
    </row>
    <row r="31" spans="1:3" x14ac:dyDescent="0.25">
      <c r="A31" s="49" t="s">
        <v>101</v>
      </c>
      <c r="B31" s="49" t="s">
        <v>78</v>
      </c>
      <c r="C31" s="49" t="s">
        <v>73</v>
      </c>
    </row>
    <row r="32" spans="1:3" x14ac:dyDescent="0.25">
      <c r="A32" s="49" t="s">
        <v>102</v>
      </c>
      <c r="B32" s="49" t="s">
        <v>78</v>
      </c>
      <c r="C32" s="49" t="s">
        <v>73</v>
      </c>
    </row>
    <row r="33" spans="1:3" x14ac:dyDescent="0.25">
      <c r="A33" s="49" t="s">
        <v>103</v>
      </c>
      <c r="B33" s="49" t="s">
        <v>78</v>
      </c>
      <c r="C33" s="49" t="s">
        <v>73</v>
      </c>
    </row>
    <row r="34" spans="1:3" x14ac:dyDescent="0.25">
      <c r="A34" s="49" t="s">
        <v>104</v>
      </c>
      <c r="B34" s="49" t="s">
        <v>78</v>
      </c>
      <c r="C34" s="49" t="s">
        <v>73</v>
      </c>
    </row>
    <row r="35" spans="1:3" x14ac:dyDescent="0.25">
      <c r="A35" s="49" t="s">
        <v>105</v>
      </c>
      <c r="B35" s="49" t="s">
        <v>78</v>
      </c>
      <c r="C35" s="49" t="s">
        <v>73</v>
      </c>
    </row>
    <row r="36" spans="1:3" x14ac:dyDescent="0.25">
      <c r="A36" s="49" t="s">
        <v>106</v>
      </c>
      <c r="B36" s="49" t="s">
        <v>78</v>
      </c>
      <c r="C36" s="49" t="s">
        <v>73</v>
      </c>
    </row>
    <row r="37" spans="1:3" x14ac:dyDescent="0.25">
      <c r="A37" s="49" t="s">
        <v>107</v>
      </c>
      <c r="B37" s="49" t="s">
        <v>78</v>
      </c>
      <c r="C37" s="49" t="s">
        <v>73</v>
      </c>
    </row>
    <row r="38" spans="1:3" x14ac:dyDescent="0.25">
      <c r="A38" s="49" t="s">
        <v>108</v>
      </c>
      <c r="B38" s="49" t="s">
        <v>78</v>
      </c>
      <c r="C38" s="49" t="s">
        <v>73</v>
      </c>
    </row>
    <row r="39" spans="1:3" x14ac:dyDescent="0.25">
      <c r="A39" s="49" t="s">
        <v>109</v>
      </c>
      <c r="B39" s="49" t="s">
        <v>78</v>
      </c>
      <c r="C39" s="49" t="s">
        <v>73</v>
      </c>
    </row>
    <row r="40" spans="1:3" x14ac:dyDescent="0.25">
      <c r="A40" s="49" t="s">
        <v>110</v>
      </c>
      <c r="B40" s="49" t="s">
        <v>78</v>
      </c>
      <c r="C40" s="49" t="s">
        <v>73</v>
      </c>
    </row>
    <row r="41" spans="1:3" x14ac:dyDescent="0.25">
      <c r="A41" s="49" t="s">
        <v>111</v>
      </c>
      <c r="B41" s="49" t="s">
        <v>78</v>
      </c>
      <c r="C41" s="49" t="s">
        <v>73</v>
      </c>
    </row>
    <row r="42" spans="1:3" x14ac:dyDescent="0.25">
      <c r="A42" s="49" t="s">
        <v>112</v>
      </c>
      <c r="B42" s="49" t="s">
        <v>78</v>
      </c>
      <c r="C42" s="49" t="s">
        <v>73</v>
      </c>
    </row>
    <row r="43" spans="1:3" x14ac:dyDescent="0.25">
      <c r="A43" s="49" t="s">
        <v>113</v>
      </c>
      <c r="B43" s="49" t="s">
        <v>78</v>
      </c>
      <c r="C43" s="49" t="s">
        <v>73</v>
      </c>
    </row>
    <row r="44" spans="1:3" x14ac:dyDescent="0.25">
      <c r="A44" s="49" t="s">
        <v>114</v>
      </c>
      <c r="B44" s="49" t="s">
        <v>78</v>
      </c>
      <c r="C44" s="49" t="s">
        <v>73</v>
      </c>
    </row>
    <row r="45" spans="1:3" x14ac:dyDescent="0.25">
      <c r="A45" s="49" t="s">
        <v>115</v>
      </c>
      <c r="B45" s="49" t="s">
        <v>78</v>
      </c>
      <c r="C45" s="49" t="s">
        <v>73</v>
      </c>
    </row>
    <row r="46" spans="1:3" x14ac:dyDescent="0.25">
      <c r="A46" s="49" t="s">
        <v>116</v>
      </c>
      <c r="B46" s="49" t="s">
        <v>78</v>
      </c>
      <c r="C46" s="49" t="s">
        <v>73</v>
      </c>
    </row>
    <row r="47" spans="1:3" x14ac:dyDescent="0.25">
      <c r="A47" s="49" t="s">
        <v>117</v>
      </c>
      <c r="B47" s="49" t="s">
        <v>78</v>
      </c>
      <c r="C47" s="49" t="s">
        <v>73</v>
      </c>
    </row>
    <row r="48" spans="1:3" x14ac:dyDescent="0.25">
      <c r="A48" s="49" t="s">
        <v>118</v>
      </c>
      <c r="B48" s="49" t="s">
        <v>78</v>
      </c>
      <c r="C48" s="49" t="s">
        <v>73</v>
      </c>
    </row>
    <row r="49" spans="1:3" x14ac:dyDescent="0.25">
      <c r="A49" s="49" t="s">
        <v>119</v>
      </c>
      <c r="B49" s="49" t="s">
        <v>78</v>
      </c>
      <c r="C49" s="49" t="s">
        <v>73</v>
      </c>
    </row>
    <row r="50" spans="1:3" x14ac:dyDescent="0.25">
      <c r="A50" s="49" t="s">
        <v>120</v>
      </c>
      <c r="B50" s="49" t="s">
        <v>78</v>
      </c>
      <c r="C50" s="49" t="s">
        <v>73</v>
      </c>
    </row>
    <row r="51" spans="1:3" x14ac:dyDescent="0.25">
      <c r="A51" s="49" t="s">
        <v>121</v>
      </c>
      <c r="B51" s="49" t="s">
        <v>78</v>
      </c>
      <c r="C51" s="49" t="s">
        <v>73</v>
      </c>
    </row>
    <row r="52" spans="1:3" x14ac:dyDescent="0.25">
      <c r="A52" s="49" t="s">
        <v>122</v>
      </c>
      <c r="B52" s="49" t="s">
        <v>78</v>
      </c>
      <c r="C52" s="49" t="s">
        <v>73</v>
      </c>
    </row>
    <row r="53" spans="1:3" x14ac:dyDescent="0.25">
      <c r="A53" s="49" t="s">
        <v>123</v>
      </c>
      <c r="B53" s="49" t="s">
        <v>78</v>
      </c>
      <c r="C53" s="49" t="s">
        <v>73</v>
      </c>
    </row>
    <row r="54" spans="1:3" x14ac:dyDescent="0.25">
      <c r="A54" s="49" t="s">
        <v>124</v>
      </c>
      <c r="B54" s="49" t="s">
        <v>78</v>
      </c>
      <c r="C54" s="49" t="s">
        <v>73</v>
      </c>
    </row>
    <row r="55" spans="1:3" x14ac:dyDescent="0.25">
      <c r="A55" s="49" t="s">
        <v>125</v>
      </c>
      <c r="B55" s="49" t="s">
        <v>78</v>
      </c>
      <c r="C55" s="49" t="s">
        <v>73</v>
      </c>
    </row>
    <row r="56" spans="1:3" x14ac:dyDescent="0.25">
      <c r="A56" s="49" t="s">
        <v>126</v>
      </c>
      <c r="B56" s="49" t="s">
        <v>78</v>
      </c>
      <c r="C56" s="49" t="s">
        <v>73</v>
      </c>
    </row>
    <row r="57" spans="1:3" x14ac:dyDescent="0.25">
      <c r="A57" s="49" t="s">
        <v>127</v>
      </c>
      <c r="B57" s="49" t="s">
        <v>78</v>
      </c>
      <c r="C57" s="49" t="s">
        <v>73</v>
      </c>
    </row>
    <row r="58" spans="1:3" x14ac:dyDescent="0.25">
      <c r="A58" s="49" t="s">
        <v>128</v>
      </c>
      <c r="B58" s="49" t="s">
        <v>78</v>
      </c>
      <c r="C58" s="49" t="s">
        <v>73</v>
      </c>
    </row>
    <row r="59" spans="1:3" x14ac:dyDescent="0.25">
      <c r="A59" s="49" t="s">
        <v>129</v>
      </c>
      <c r="B59" s="49" t="s">
        <v>78</v>
      </c>
      <c r="C59" s="49" t="s">
        <v>73</v>
      </c>
    </row>
    <row r="60" spans="1:3" x14ac:dyDescent="0.25">
      <c r="A60" s="49" t="s">
        <v>130</v>
      </c>
      <c r="B60" s="49" t="s">
        <v>78</v>
      </c>
      <c r="C60" s="49" t="s">
        <v>73</v>
      </c>
    </row>
    <row r="61" spans="1:3" x14ac:dyDescent="0.25">
      <c r="A61" s="49" t="s">
        <v>131</v>
      </c>
      <c r="B61" s="49" t="s">
        <v>78</v>
      </c>
      <c r="C61" s="49" t="s">
        <v>73</v>
      </c>
    </row>
    <row r="62" spans="1:3" x14ac:dyDescent="0.25">
      <c r="A62" s="49" t="s">
        <v>132</v>
      </c>
      <c r="B62" s="49" t="s">
        <v>78</v>
      </c>
      <c r="C62" s="49" t="s">
        <v>73</v>
      </c>
    </row>
    <row r="63" spans="1:3" x14ac:dyDescent="0.25">
      <c r="A63" s="49" t="s">
        <v>133</v>
      </c>
      <c r="B63" s="49" t="s">
        <v>78</v>
      </c>
      <c r="C63" s="49" t="s">
        <v>73</v>
      </c>
    </row>
    <row r="64" spans="1:3" x14ac:dyDescent="0.25">
      <c r="A64" s="49" t="s">
        <v>134</v>
      </c>
      <c r="B64" s="49" t="s">
        <v>78</v>
      </c>
      <c r="C64" s="49" t="s">
        <v>73</v>
      </c>
    </row>
    <row r="65" spans="1:3" x14ac:dyDescent="0.25">
      <c r="A65" s="49" t="s">
        <v>135</v>
      </c>
      <c r="B65" s="49" t="s">
        <v>78</v>
      </c>
      <c r="C65" s="49" t="s">
        <v>73</v>
      </c>
    </row>
    <row r="66" spans="1:3" x14ac:dyDescent="0.25">
      <c r="A66" s="49" t="s">
        <v>136</v>
      </c>
      <c r="B66" s="49" t="s">
        <v>78</v>
      </c>
      <c r="C66" s="49" t="s">
        <v>73</v>
      </c>
    </row>
    <row r="67" spans="1:3" x14ac:dyDescent="0.25">
      <c r="A67" s="49" t="s">
        <v>137</v>
      </c>
      <c r="B67" s="49" t="s">
        <v>78</v>
      </c>
      <c r="C67" s="49" t="s">
        <v>73</v>
      </c>
    </row>
    <row r="68" spans="1:3" x14ac:dyDescent="0.25">
      <c r="A68" s="49" t="s">
        <v>138</v>
      </c>
      <c r="B68" s="49" t="s">
        <v>78</v>
      </c>
      <c r="C68" s="49" t="s">
        <v>73</v>
      </c>
    </row>
    <row r="69" spans="1:3" x14ac:dyDescent="0.25">
      <c r="A69" s="49" t="s">
        <v>139</v>
      </c>
      <c r="B69" s="49" t="s">
        <v>78</v>
      </c>
      <c r="C69" s="49" t="s">
        <v>73</v>
      </c>
    </row>
    <row r="70" spans="1:3" x14ac:dyDescent="0.25">
      <c r="A70" s="49" t="s">
        <v>140</v>
      </c>
      <c r="B70" s="49" t="s">
        <v>78</v>
      </c>
      <c r="C70" s="49" t="s">
        <v>73</v>
      </c>
    </row>
    <row r="71" spans="1:3" x14ac:dyDescent="0.25">
      <c r="A71" s="49" t="s">
        <v>141</v>
      </c>
      <c r="B71" s="49" t="s">
        <v>78</v>
      </c>
      <c r="C71" s="49" t="s">
        <v>73</v>
      </c>
    </row>
    <row r="72" spans="1:3" x14ac:dyDescent="0.25">
      <c r="A72" s="49" t="s">
        <v>142</v>
      </c>
      <c r="B72" s="49" t="s">
        <v>78</v>
      </c>
      <c r="C72" s="49" t="s">
        <v>73</v>
      </c>
    </row>
    <row r="73" spans="1:3" x14ac:dyDescent="0.25">
      <c r="A73" s="49" t="s">
        <v>143</v>
      </c>
      <c r="B73" s="49" t="s">
        <v>78</v>
      </c>
      <c r="C73" s="49" t="s">
        <v>73</v>
      </c>
    </row>
    <row r="74" spans="1:3" x14ac:dyDescent="0.25">
      <c r="A74" s="49" t="s">
        <v>144</v>
      </c>
      <c r="B74" s="49" t="s">
        <v>78</v>
      </c>
      <c r="C74" s="49" t="s">
        <v>73</v>
      </c>
    </row>
    <row r="75" spans="1:3" x14ac:dyDescent="0.25">
      <c r="A75" s="49" t="s">
        <v>145</v>
      </c>
      <c r="B75" s="49" t="s">
        <v>78</v>
      </c>
      <c r="C75" s="49" t="s">
        <v>73</v>
      </c>
    </row>
    <row r="76" spans="1:3" x14ac:dyDescent="0.25">
      <c r="A76" s="49" t="s">
        <v>146</v>
      </c>
      <c r="B76" s="49" t="s">
        <v>78</v>
      </c>
      <c r="C76" s="49" t="s">
        <v>73</v>
      </c>
    </row>
    <row r="77" spans="1:3" x14ac:dyDescent="0.25">
      <c r="A77" s="49" t="s">
        <v>147</v>
      </c>
      <c r="B77" s="49" t="s">
        <v>78</v>
      </c>
      <c r="C77" s="49" t="s">
        <v>73</v>
      </c>
    </row>
    <row r="78" spans="1:3" x14ac:dyDescent="0.25">
      <c r="A78" s="49" t="s">
        <v>148</v>
      </c>
      <c r="B78" s="49" t="s">
        <v>78</v>
      </c>
      <c r="C78" s="49" t="s">
        <v>73</v>
      </c>
    </row>
    <row r="79" spans="1:3" x14ac:dyDescent="0.25">
      <c r="A79" s="49" t="s">
        <v>149</v>
      </c>
      <c r="B79" s="49" t="s">
        <v>78</v>
      </c>
      <c r="C79" s="49" t="s">
        <v>73</v>
      </c>
    </row>
    <row r="80" spans="1:3" x14ac:dyDescent="0.25">
      <c r="A80" s="49" t="s">
        <v>150</v>
      </c>
      <c r="B80" s="49" t="s">
        <v>78</v>
      </c>
      <c r="C80" s="49" t="s">
        <v>73</v>
      </c>
    </row>
    <row r="81" spans="1:3" x14ac:dyDescent="0.25">
      <c r="A81" s="49" t="s">
        <v>151</v>
      </c>
      <c r="B81" s="49" t="s">
        <v>78</v>
      </c>
      <c r="C81" s="49" t="s">
        <v>73</v>
      </c>
    </row>
    <row r="82" spans="1:3" x14ac:dyDescent="0.25">
      <c r="A82" s="49" t="s">
        <v>152</v>
      </c>
      <c r="B82" s="49" t="s">
        <v>78</v>
      </c>
      <c r="C82" s="49" t="s">
        <v>73</v>
      </c>
    </row>
    <row r="83" spans="1:3" x14ac:dyDescent="0.25">
      <c r="A83" s="49" t="s">
        <v>153</v>
      </c>
      <c r="B83" s="49" t="s">
        <v>78</v>
      </c>
      <c r="C83" s="49" t="s">
        <v>73</v>
      </c>
    </row>
    <row r="84" spans="1:3" x14ac:dyDescent="0.25">
      <c r="A84" s="49" t="s">
        <v>154</v>
      </c>
      <c r="B84" s="49" t="s">
        <v>78</v>
      </c>
      <c r="C84" s="49" t="s">
        <v>73</v>
      </c>
    </row>
    <row r="85" spans="1:3" x14ac:dyDescent="0.25">
      <c r="A85" s="49" t="s">
        <v>155</v>
      </c>
      <c r="B85" s="49" t="s">
        <v>78</v>
      </c>
      <c r="C85" s="49" t="s">
        <v>73</v>
      </c>
    </row>
    <row r="86" spans="1:3" x14ac:dyDescent="0.25">
      <c r="A86" s="49" t="s">
        <v>156</v>
      </c>
      <c r="B86" s="49" t="s">
        <v>78</v>
      </c>
      <c r="C86" s="49" t="s">
        <v>73</v>
      </c>
    </row>
    <row r="87" spans="1:3" x14ac:dyDescent="0.25">
      <c r="A87" s="49" t="s">
        <v>157</v>
      </c>
      <c r="B87" s="49" t="s">
        <v>78</v>
      </c>
      <c r="C87" s="49" t="s">
        <v>73</v>
      </c>
    </row>
    <row r="88" spans="1:3" x14ac:dyDescent="0.25">
      <c r="A88" s="49" t="s">
        <v>158</v>
      </c>
      <c r="B88" s="49" t="s">
        <v>78</v>
      </c>
      <c r="C88" s="49" t="s">
        <v>73</v>
      </c>
    </row>
    <row r="89" spans="1:3" x14ac:dyDescent="0.25">
      <c r="A89" s="49" t="s">
        <v>159</v>
      </c>
      <c r="B89" s="49" t="s">
        <v>78</v>
      </c>
      <c r="C89" s="49" t="s">
        <v>73</v>
      </c>
    </row>
    <row r="90" spans="1:3" x14ac:dyDescent="0.25">
      <c r="A90" s="49" t="s">
        <v>160</v>
      </c>
      <c r="B90" s="49" t="s">
        <v>78</v>
      </c>
      <c r="C90" s="49" t="s">
        <v>73</v>
      </c>
    </row>
    <row r="91" spans="1:3" x14ac:dyDescent="0.25">
      <c r="A91" s="49" t="s">
        <v>161</v>
      </c>
      <c r="B91" s="49" t="s">
        <v>78</v>
      </c>
      <c r="C91" s="49" t="s">
        <v>73</v>
      </c>
    </row>
    <row r="92" spans="1:3" x14ac:dyDescent="0.25">
      <c r="A92" s="49" t="s">
        <v>162</v>
      </c>
      <c r="B92" s="49" t="s">
        <v>78</v>
      </c>
      <c r="C92" s="49" t="s">
        <v>73</v>
      </c>
    </row>
    <row r="93" spans="1:3" x14ac:dyDescent="0.25">
      <c r="A93" s="49" t="s">
        <v>163</v>
      </c>
      <c r="B93" s="49" t="s">
        <v>78</v>
      </c>
      <c r="C93" s="49" t="s">
        <v>73</v>
      </c>
    </row>
    <row r="94" spans="1:3" x14ac:dyDescent="0.25">
      <c r="A94" s="49" t="s">
        <v>164</v>
      </c>
      <c r="B94" s="49" t="s">
        <v>78</v>
      </c>
      <c r="C94" s="49" t="s">
        <v>73</v>
      </c>
    </row>
    <row r="95" spans="1:3" x14ac:dyDescent="0.25">
      <c r="A95" s="49" t="s">
        <v>165</v>
      </c>
      <c r="B95" s="49" t="s">
        <v>78</v>
      </c>
      <c r="C95" s="49" t="s">
        <v>73</v>
      </c>
    </row>
    <row r="96" spans="1:3" x14ac:dyDescent="0.25">
      <c r="A96" s="49" t="s">
        <v>166</v>
      </c>
      <c r="B96" s="49" t="s">
        <v>78</v>
      </c>
      <c r="C96" s="49" t="s">
        <v>73</v>
      </c>
    </row>
    <row r="97" spans="1:3" x14ac:dyDescent="0.25">
      <c r="A97" s="49" t="s">
        <v>167</v>
      </c>
      <c r="B97" s="49" t="s">
        <v>78</v>
      </c>
      <c r="C97" s="49" t="s">
        <v>73</v>
      </c>
    </row>
    <row r="98" spans="1:3" x14ac:dyDescent="0.25">
      <c r="A98" s="49" t="s">
        <v>168</v>
      </c>
      <c r="B98" s="49" t="s">
        <v>78</v>
      </c>
      <c r="C98" s="49" t="s">
        <v>73</v>
      </c>
    </row>
    <row r="99" spans="1:3" x14ac:dyDescent="0.25">
      <c r="A99" s="49" t="s">
        <v>169</v>
      </c>
      <c r="B99" s="49" t="s">
        <v>78</v>
      </c>
      <c r="C99" s="49" t="s">
        <v>73</v>
      </c>
    </row>
    <row r="100" spans="1:3" x14ac:dyDescent="0.25">
      <c r="A100" s="49" t="s">
        <v>170</v>
      </c>
      <c r="B100" s="49" t="s">
        <v>78</v>
      </c>
      <c r="C100" s="49" t="s">
        <v>73</v>
      </c>
    </row>
    <row r="101" spans="1:3" x14ac:dyDescent="0.25">
      <c r="A101" s="49" t="s">
        <v>171</v>
      </c>
      <c r="B101" s="49" t="s">
        <v>78</v>
      </c>
      <c r="C101" s="49" t="s">
        <v>73</v>
      </c>
    </row>
    <row r="102" spans="1:3" x14ac:dyDescent="0.25">
      <c r="A102" s="49" t="s">
        <v>172</v>
      </c>
      <c r="B102" s="49" t="s">
        <v>78</v>
      </c>
      <c r="C102" s="49" t="s">
        <v>73</v>
      </c>
    </row>
    <row r="103" spans="1:3" x14ac:dyDescent="0.25">
      <c r="A103" s="49" t="s">
        <v>173</v>
      </c>
      <c r="B103" s="49" t="s">
        <v>78</v>
      </c>
      <c r="C103" s="49" t="s">
        <v>73</v>
      </c>
    </row>
    <row r="104" spans="1:3" x14ac:dyDescent="0.25">
      <c r="A104" s="49" t="s">
        <v>174</v>
      </c>
      <c r="B104" s="53" t="s">
        <v>78</v>
      </c>
      <c r="C104" s="49" t="s">
        <v>73</v>
      </c>
    </row>
    <row r="105" spans="1:3" x14ac:dyDescent="0.25">
      <c r="A105" s="49" t="s">
        <v>175</v>
      </c>
      <c r="B105" s="53" t="s">
        <v>78</v>
      </c>
      <c r="C105" s="49" t="s">
        <v>73</v>
      </c>
    </row>
    <row r="106" spans="1:3" x14ac:dyDescent="0.25">
      <c r="A106" s="49" t="s">
        <v>176</v>
      </c>
      <c r="B106" s="53" t="s">
        <v>78</v>
      </c>
      <c r="C106" s="49" t="s">
        <v>73</v>
      </c>
    </row>
    <row r="107" spans="1:3" x14ac:dyDescent="0.25">
      <c r="A107" s="49" t="s">
        <v>177</v>
      </c>
      <c r="B107" s="53" t="s">
        <v>78</v>
      </c>
      <c r="C107" s="49" t="s">
        <v>73</v>
      </c>
    </row>
    <row r="108" spans="1:3" x14ac:dyDescent="0.25">
      <c r="A108" s="49" t="s">
        <v>178</v>
      </c>
      <c r="B108" s="53" t="s">
        <v>78</v>
      </c>
      <c r="C108" s="49" t="s">
        <v>73</v>
      </c>
    </row>
    <row r="109" spans="1:3" x14ac:dyDescent="0.25">
      <c r="A109" s="49" t="s">
        <v>179</v>
      </c>
      <c r="B109" s="53" t="s">
        <v>78</v>
      </c>
      <c r="C109" s="49" t="s">
        <v>73</v>
      </c>
    </row>
    <row r="110" spans="1:3" x14ac:dyDescent="0.25">
      <c r="A110" s="49" t="s">
        <v>180</v>
      </c>
      <c r="B110" s="53" t="s">
        <v>78</v>
      </c>
      <c r="C110" s="49" t="s">
        <v>73</v>
      </c>
    </row>
    <row r="111" spans="1:3" x14ac:dyDescent="0.25">
      <c r="A111" s="49" t="s">
        <v>181</v>
      </c>
      <c r="B111" s="53" t="s">
        <v>78</v>
      </c>
      <c r="C111" s="49" t="s">
        <v>73</v>
      </c>
    </row>
    <row r="112" spans="1:3" x14ac:dyDescent="0.25">
      <c r="A112" s="49" t="s">
        <v>182</v>
      </c>
      <c r="B112" s="53" t="s">
        <v>78</v>
      </c>
      <c r="C112" s="49" t="s">
        <v>73</v>
      </c>
    </row>
    <row r="113" spans="1:3" x14ac:dyDescent="0.25">
      <c r="A113" s="49" t="s">
        <v>183</v>
      </c>
      <c r="B113" s="53" t="s">
        <v>78</v>
      </c>
      <c r="C113" s="49" t="s">
        <v>73</v>
      </c>
    </row>
    <row r="114" spans="1:3" x14ac:dyDescent="0.25">
      <c r="A114" s="49" t="s">
        <v>184</v>
      </c>
      <c r="B114" s="53" t="s">
        <v>78</v>
      </c>
      <c r="C114" s="49" t="s">
        <v>73</v>
      </c>
    </row>
    <row r="115" spans="1:3" x14ac:dyDescent="0.25">
      <c r="A115" s="49" t="s">
        <v>185</v>
      </c>
      <c r="B115" s="53" t="s">
        <v>78</v>
      </c>
      <c r="C115" s="49" t="s">
        <v>73</v>
      </c>
    </row>
    <row r="116" spans="1:3" x14ac:dyDescent="0.25">
      <c r="A116" s="49" t="s">
        <v>186</v>
      </c>
      <c r="B116" s="53" t="s">
        <v>78</v>
      </c>
      <c r="C116" s="49" t="s">
        <v>73</v>
      </c>
    </row>
    <row r="117" spans="1:3" x14ac:dyDescent="0.25">
      <c r="A117" s="49" t="s">
        <v>187</v>
      </c>
      <c r="B117" s="53" t="s">
        <v>78</v>
      </c>
      <c r="C117" s="49" t="s">
        <v>73</v>
      </c>
    </row>
    <row r="118" spans="1:3" x14ac:dyDescent="0.25">
      <c r="A118" s="49" t="s">
        <v>188</v>
      </c>
      <c r="B118" s="53" t="s">
        <v>78</v>
      </c>
      <c r="C118" s="49" t="s">
        <v>73</v>
      </c>
    </row>
    <row r="119" spans="1:3" x14ac:dyDescent="0.25">
      <c r="A119" s="49" t="s">
        <v>189</v>
      </c>
      <c r="B119" s="53" t="s">
        <v>78</v>
      </c>
      <c r="C119" s="49" t="s">
        <v>73</v>
      </c>
    </row>
    <row r="120" spans="1:3" x14ac:dyDescent="0.25">
      <c r="A120" s="49" t="s">
        <v>190</v>
      </c>
      <c r="B120" s="53" t="s">
        <v>78</v>
      </c>
      <c r="C120" s="49" t="s">
        <v>73</v>
      </c>
    </row>
    <row r="121" spans="1:3" x14ac:dyDescent="0.25">
      <c r="A121" s="49" t="s">
        <v>191</v>
      </c>
      <c r="B121" s="53" t="s">
        <v>78</v>
      </c>
      <c r="C121" s="49" t="s">
        <v>73</v>
      </c>
    </row>
    <row r="122" spans="1:3" x14ac:dyDescent="0.25">
      <c r="A122" s="49" t="s">
        <v>192</v>
      </c>
      <c r="B122" s="53" t="s">
        <v>78</v>
      </c>
      <c r="C122" s="49" t="s">
        <v>73</v>
      </c>
    </row>
    <row r="123" spans="1:3" x14ac:dyDescent="0.25">
      <c r="A123" s="49" t="s">
        <v>193</v>
      </c>
      <c r="B123" s="53" t="s">
        <v>78</v>
      </c>
      <c r="C123" s="49" t="s">
        <v>73</v>
      </c>
    </row>
    <row r="124" spans="1:3" x14ac:dyDescent="0.25">
      <c r="A124" s="49" t="s">
        <v>194</v>
      </c>
      <c r="B124" s="53" t="s">
        <v>78</v>
      </c>
      <c r="C124" s="49" t="s">
        <v>73</v>
      </c>
    </row>
    <row r="125" spans="1:3" x14ac:dyDescent="0.25">
      <c r="A125" s="49" t="s">
        <v>195</v>
      </c>
      <c r="B125" s="53" t="s">
        <v>78</v>
      </c>
      <c r="C125" s="49" t="s">
        <v>73</v>
      </c>
    </row>
    <row r="126" spans="1:3" x14ac:dyDescent="0.25">
      <c r="A126" s="49" t="s">
        <v>196</v>
      </c>
      <c r="B126" s="53" t="s">
        <v>78</v>
      </c>
      <c r="C126" s="49" t="s">
        <v>73</v>
      </c>
    </row>
    <row r="127" spans="1:3" x14ac:dyDescent="0.25">
      <c r="A127" s="49" t="s">
        <v>197</v>
      </c>
      <c r="B127" s="53" t="s">
        <v>78</v>
      </c>
      <c r="C127" s="49" t="s">
        <v>73</v>
      </c>
    </row>
    <row r="128" spans="1:3" x14ac:dyDescent="0.25">
      <c r="A128" s="49" t="s">
        <v>198</v>
      </c>
      <c r="B128" s="53" t="s">
        <v>78</v>
      </c>
      <c r="C128" s="49" t="s">
        <v>73</v>
      </c>
    </row>
    <row r="129" spans="1:3" x14ac:dyDescent="0.25">
      <c r="A129" s="49" t="s">
        <v>199</v>
      </c>
      <c r="B129" s="53" t="s">
        <v>78</v>
      </c>
      <c r="C129" s="49" t="s">
        <v>73</v>
      </c>
    </row>
    <row r="130" spans="1:3" x14ac:dyDescent="0.25">
      <c r="A130" s="49" t="s">
        <v>200</v>
      </c>
      <c r="B130" s="53" t="s">
        <v>78</v>
      </c>
      <c r="C130" s="49" t="s">
        <v>73</v>
      </c>
    </row>
    <row r="131" spans="1:3" x14ac:dyDescent="0.25">
      <c r="A131" s="49" t="s">
        <v>201</v>
      </c>
      <c r="B131" s="53" t="s">
        <v>78</v>
      </c>
      <c r="C131" s="49" t="s">
        <v>73</v>
      </c>
    </row>
    <row r="132" spans="1:3" x14ac:dyDescent="0.25">
      <c r="A132" s="49" t="s">
        <v>202</v>
      </c>
      <c r="B132" s="53" t="s">
        <v>78</v>
      </c>
      <c r="C132" s="49" t="s">
        <v>73</v>
      </c>
    </row>
    <row r="133" spans="1:3" x14ac:dyDescent="0.25">
      <c r="A133" s="49" t="s">
        <v>203</v>
      </c>
      <c r="B133" s="53" t="s">
        <v>78</v>
      </c>
      <c r="C133" s="49" t="s">
        <v>73</v>
      </c>
    </row>
    <row r="134" spans="1:3" x14ac:dyDescent="0.25">
      <c r="A134" s="49" t="s">
        <v>204</v>
      </c>
      <c r="B134" s="53" t="s">
        <v>78</v>
      </c>
      <c r="C134" s="49" t="s">
        <v>73</v>
      </c>
    </row>
    <row r="135" spans="1:3" x14ac:dyDescent="0.25">
      <c r="A135" s="49" t="s">
        <v>205</v>
      </c>
      <c r="B135" s="53" t="s">
        <v>78</v>
      </c>
      <c r="C135" s="49" t="s">
        <v>73</v>
      </c>
    </row>
    <row r="136" spans="1:3" x14ac:dyDescent="0.25">
      <c r="A136" s="49" t="s">
        <v>206</v>
      </c>
      <c r="B136" s="53" t="s">
        <v>78</v>
      </c>
      <c r="C136" s="49" t="s">
        <v>73</v>
      </c>
    </row>
    <row r="137" spans="1:3" x14ac:dyDescent="0.25">
      <c r="A137" s="49" t="s">
        <v>207</v>
      </c>
      <c r="B137" s="53" t="s">
        <v>78</v>
      </c>
      <c r="C137" s="49" t="s">
        <v>73</v>
      </c>
    </row>
    <row r="138" spans="1:3" x14ac:dyDescent="0.25">
      <c r="A138" s="49" t="s">
        <v>208</v>
      </c>
      <c r="B138" s="53" t="s">
        <v>78</v>
      </c>
      <c r="C138" s="49" t="s">
        <v>73</v>
      </c>
    </row>
    <row r="139" spans="1:3" x14ac:dyDescent="0.25">
      <c r="A139" s="49" t="s">
        <v>209</v>
      </c>
      <c r="B139" s="53" t="s">
        <v>78</v>
      </c>
      <c r="C139" s="49" t="s">
        <v>73</v>
      </c>
    </row>
    <row r="140" spans="1:3" x14ac:dyDescent="0.25">
      <c r="A140" s="49" t="s">
        <v>210</v>
      </c>
      <c r="B140" s="53" t="s">
        <v>78</v>
      </c>
      <c r="C140" s="49" t="s">
        <v>73</v>
      </c>
    </row>
    <row r="141" spans="1:3" x14ac:dyDescent="0.25">
      <c r="A141" s="49" t="s">
        <v>211</v>
      </c>
      <c r="B141" s="53" t="s">
        <v>78</v>
      </c>
      <c r="C141" s="49" t="s">
        <v>73</v>
      </c>
    </row>
    <row r="142" spans="1:3" x14ac:dyDescent="0.25">
      <c r="A142" s="49" t="s">
        <v>212</v>
      </c>
      <c r="B142" s="53" t="s">
        <v>78</v>
      </c>
      <c r="C142" s="49" t="s">
        <v>73</v>
      </c>
    </row>
    <row r="143" spans="1:3" x14ac:dyDescent="0.25">
      <c r="A143" s="49" t="s">
        <v>213</v>
      </c>
      <c r="B143" s="53" t="s">
        <v>78</v>
      </c>
      <c r="C143" s="49" t="s">
        <v>73</v>
      </c>
    </row>
    <row r="144" spans="1:3" x14ac:dyDescent="0.25">
      <c r="A144" s="49" t="s">
        <v>214</v>
      </c>
      <c r="B144" s="53" t="s">
        <v>78</v>
      </c>
      <c r="C144" s="49" t="s">
        <v>73</v>
      </c>
    </row>
    <row r="145" spans="1:3" x14ac:dyDescent="0.25">
      <c r="A145" s="49" t="s">
        <v>215</v>
      </c>
      <c r="B145" s="53" t="s">
        <v>78</v>
      </c>
      <c r="C145" s="49" t="s">
        <v>73</v>
      </c>
    </row>
    <row r="146" spans="1:3" x14ac:dyDescent="0.25">
      <c r="A146" s="49" t="s">
        <v>216</v>
      </c>
      <c r="B146" s="53" t="s">
        <v>78</v>
      </c>
      <c r="C146" s="49" t="s">
        <v>73</v>
      </c>
    </row>
    <row r="147" spans="1:3" x14ac:dyDescent="0.25">
      <c r="A147" s="49" t="s">
        <v>217</v>
      </c>
      <c r="B147" s="53" t="s">
        <v>78</v>
      </c>
      <c r="C147" s="49" t="s">
        <v>73</v>
      </c>
    </row>
    <row r="148" spans="1:3" x14ac:dyDescent="0.25">
      <c r="A148" s="49" t="s">
        <v>218</v>
      </c>
      <c r="B148" s="53" t="s">
        <v>78</v>
      </c>
      <c r="C148" s="49" t="s">
        <v>73</v>
      </c>
    </row>
    <row r="149" spans="1:3" x14ac:dyDescent="0.25">
      <c r="A149" s="49" t="s">
        <v>219</v>
      </c>
      <c r="B149" s="53" t="s">
        <v>78</v>
      </c>
      <c r="C149" s="49" t="s">
        <v>73</v>
      </c>
    </row>
    <row r="150" spans="1:3" x14ac:dyDescent="0.25">
      <c r="A150" s="49" t="s">
        <v>220</v>
      </c>
      <c r="B150" s="53" t="s">
        <v>78</v>
      </c>
      <c r="C150" s="49" t="s">
        <v>73</v>
      </c>
    </row>
    <row r="151" spans="1:3" x14ac:dyDescent="0.25">
      <c r="A151" s="49" t="s">
        <v>221</v>
      </c>
      <c r="B151" s="53" t="s">
        <v>78</v>
      </c>
      <c r="C151" s="49" t="s">
        <v>73</v>
      </c>
    </row>
    <row r="152" spans="1:3" x14ac:dyDescent="0.25">
      <c r="A152" s="49" t="s">
        <v>222</v>
      </c>
      <c r="B152" s="53" t="s">
        <v>78</v>
      </c>
      <c r="C152" s="49" t="s">
        <v>73</v>
      </c>
    </row>
    <row r="153" spans="1:3" x14ac:dyDescent="0.25">
      <c r="A153" s="49" t="s">
        <v>223</v>
      </c>
      <c r="B153" s="53" t="s">
        <v>78</v>
      </c>
      <c r="C153" s="49" t="s">
        <v>73</v>
      </c>
    </row>
    <row r="154" spans="1:3" x14ac:dyDescent="0.25">
      <c r="A154" s="49" t="s">
        <v>224</v>
      </c>
      <c r="B154" s="53" t="s">
        <v>78</v>
      </c>
      <c r="C154" s="49" t="s">
        <v>73</v>
      </c>
    </row>
    <row r="155" spans="1:3" x14ac:dyDescent="0.25">
      <c r="A155" s="49" t="s">
        <v>225</v>
      </c>
      <c r="B155" s="53" t="s">
        <v>78</v>
      </c>
      <c r="C155" s="49" t="s">
        <v>73</v>
      </c>
    </row>
    <row r="156" spans="1:3" x14ac:dyDescent="0.25">
      <c r="A156" s="49" t="s">
        <v>226</v>
      </c>
      <c r="B156" s="53" t="s">
        <v>78</v>
      </c>
      <c r="C156" s="49" t="s">
        <v>73</v>
      </c>
    </row>
    <row r="157" spans="1:3" x14ac:dyDescent="0.25">
      <c r="A157" s="49" t="s">
        <v>227</v>
      </c>
      <c r="B157" s="53" t="s">
        <v>78</v>
      </c>
      <c r="C157" s="49" t="s">
        <v>73</v>
      </c>
    </row>
    <row r="158" spans="1:3" x14ac:dyDescent="0.25">
      <c r="A158" s="49" t="s">
        <v>228</v>
      </c>
      <c r="B158" s="53" t="s">
        <v>78</v>
      </c>
      <c r="C158" s="49" t="s">
        <v>73</v>
      </c>
    </row>
    <row r="159" spans="1:3" x14ac:dyDescent="0.25">
      <c r="A159" s="49" t="s">
        <v>229</v>
      </c>
      <c r="B159" s="53" t="s">
        <v>78</v>
      </c>
      <c r="C159" s="49" t="s">
        <v>73</v>
      </c>
    </row>
    <row r="160" spans="1:3" x14ac:dyDescent="0.25">
      <c r="A160" s="49" t="s">
        <v>230</v>
      </c>
      <c r="B160" s="53" t="s">
        <v>78</v>
      </c>
      <c r="C160" s="49" t="s">
        <v>73</v>
      </c>
    </row>
    <row r="161" spans="1:3" x14ac:dyDescent="0.25">
      <c r="A161" s="49" t="s">
        <v>231</v>
      </c>
      <c r="B161" s="53" t="s">
        <v>78</v>
      </c>
      <c r="C161" s="49" t="s">
        <v>73</v>
      </c>
    </row>
    <row r="162" spans="1:3" x14ac:dyDescent="0.25">
      <c r="A162" s="49" t="s">
        <v>232</v>
      </c>
      <c r="B162" s="53" t="s">
        <v>78</v>
      </c>
      <c r="C162" s="49" t="s">
        <v>73</v>
      </c>
    </row>
    <row r="163" spans="1:3" x14ac:dyDescent="0.25">
      <c r="A163" s="49" t="s">
        <v>233</v>
      </c>
      <c r="B163" s="53" t="s">
        <v>78</v>
      </c>
      <c r="C163" s="49" t="s">
        <v>73</v>
      </c>
    </row>
    <row r="164" spans="1:3" x14ac:dyDescent="0.25">
      <c r="A164" s="49" t="s">
        <v>234</v>
      </c>
      <c r="B164" s="53" t="s">
        <v>78</v>
      </c>
      <c r="C164" s="49" t="s">
        <v>73</v>
      </c>
    </row>
    <row r="165" spans="1:3" x14ac:dyDescent="0.25">
      <c r="A165" s="49" t="s">
        <v>235</v>
      </c>
      <c r="B165" s="53" t="s">
        <v>78</v>
      </c>
      <c r="C165" s="49" t="s">
        <v>73</v>
      </c>
    </row>
    <row r="166" spans="1:3" x14ac:dyDescent="0.25">
      <c r="A166" s="49" t="s">
        <v>236</v>
      </c>
      <c r="B166" s="53" t="s">
        <v>78</v>
      </c>
      <c r="C166" s="49" t="s">
        <v>73</v>
      </c>
    </row>
    <row r="167" spans="1:3" x14ac:dyDescent="0.25">
      <c r="A167" s="49" t="s">
        <v>237</v>
      </c>
      <c r="B167" s="53" t="s">
        <v>78</v>
      </c>
      <c r="C167" s="49" t="s">
        <v>73</v>
      </c>
    </row>
    <row r="168" spans="1:3" x14ac:dyDescent="0.25">
      <c r="A168" s="49" t="s">
        <v>238</v>
      </c>
      <c r="B168" s="53" t="s">
        <v>78</v>
      </c>
      <c r="C168" s="49" t="s">
        <v>73</v>
      </c>
    </row>
    <row r="169" spans="1:3" x14ac:dyDescent="0.25">
      <c r="A169" s="49" t="s">
        <v>239</v>
      </c>
      <c r="B169" s="53" t="s">
        <v>78</v>
      </c>
      <c r="C169" s="49" t="s">
        <v>73</v>
      </c>
    </row>
    <row r="170" spans="1:3" x14ac:dyDescent="0.25">
      <c r="A170" s="49" t="s">
        <v>240</v>
      </c>
      <c r="B170" s="53" t="s">
        <v>78</v>
      </c>
      <c r="C170" s="49" t="s">
        <v>73</v>
      </c>
    </row>
    <row r="171" spans="1:3" x14ac:dyDescent="0.25">
      <c r="A171" s="49" t="s">
        <v>241</v>
      </c>
      <c r="B171" s="53" t="s">
        <v>78</v>
      </c>
      <c r="C171" s="49" t="s">
        <v>73</v>
      </c>
    </row>
    <row r="172" spans="1:3" x14ac:dyDescent="0.25">
      <c r="A172" s="49" t="s">
        <v>242</v>
      </c>
      <c r="B172" s="53" t="s">
        <v>78</v>
      </c>
      <c r="C172" s="49" t="s">
        <v>73</v>
      </c>
    </row>
    <row r="173" spans="1:3" x14ac:dyDescent="0.25">
      <c r="A173" s="49" t="s">
        <v>243</v>
      </c>
      <c r="B173" s="53" t="s">
        <v>78</v>
      </c>
      <c r="C173" s="49" t="s">
        <v>73</v>
      </c>
    </row>
    <row r="174" spans="1:3" x14ac:dyDescent="0.25">
      <c r="A174" s="49" t="s">
        <v>244</v>
      </c>
      <c r="B174" s="53" t="s">
        <v>78</v>
      </c>
      <c r="C174" s="49" t="s">
        <v>73</v>
      </c>
    </row>
    <row r="175" spans="1:3" x14ac:dyDescent="0.25">
      <c r="A175" s="49" t="s">
        <v>245</v>
      </c>
      <c r="B175" s="53" t="s">
        <v>78</v>
      </c>
      <c r="C175" s="49" t="s">
        <v>73</v>
      </c>
    </row>
    <row r="176" spans="1:3" x14ac:dyDescent="0.25">
      <c r="A176" s="49" t="s">
        <v>246</v>
      </c>
      <c r="B176" s="53" t="s">
        <v>78</v>
      </c>
      <c r="C176" s="49" t="s">
        <v>73</v>
      </c>
    </row>
    <row r="177" spans="1:3" x14ac:dyDescent="0.25">
      <c r="A177" s="49" t="s">
        <v>247</v>
      </c>
      <c r="B177" s="53" t="s">
        <v>78</v>
      </c>
      <c r="C177" s="49" t="s">
        <v>73</v>
      </c>
    </row>
    <row r="178" spans="1:3" x14ac:dyDescent="0.25">
      <c r="A178" s="49" t="s">
        <v>248</v>
      </c>
      <c r="B178" s="53" t="s">
        <v>78</v>
      </c>
      <c r="C178" s="49" t="s">
        <v>73</v>
      </c>
    </row>
    <row r="179" spans="1:3" x14ac:dyDescent="0.25">
      <c r="A179" s="49" t="s">
        <v>249</v>
      </c>
      <c r="B179" s="53" t="s">
        <v>78</v>
      </c>
      <c r="C179" s="49" t="s">
        <v>73</v>
      </c>
    </row>
    <row r="180" spans="1:3" x14ac:dyDescent="0.25">
      <c r="A180" s="49" t="s">
        <v>250</v>
      </c>
      <c r="B180" s="53" t="s">
        <v>78</v>
      </c>
      <c r="C180" s="49" t="s">
        <v>73</v>
      </c>
    </row>
    <row r="181" spans="1:3" x14ac:dyDescent="0.25">
      <c r="A181" s="49" t="s">
        <v>251</v>
      </c>
      <c r="B181" s="53" t="s">
        <v>78</v>
      </c>
      <c r="C181" s="49" t="s">
        <v>73</v>
      </c>
    </row>
    <row r="182" spans="1:3" x14ac:dyDescent="0.25">
      <c r="A182" s="49" t="s">
        <v>252</v>
      </c>
      <c r="B182" s="53" t="s">
        <v>78</v>
      </c>
      <c r="C182" s="49" t="s">
        <v>73</v>
      </c>
    </row>
    <row r="183" spans="1:3" x14ac:dyDescent="0.25">
      <c r="A183" s="49" t="s">
        <v>253</v>
      </c>
      <c r="B183" s="53" t="s">
        <v>78</v>
      </c>
      <c r="C183" s="49" t="s">
        <v>73</v>
      </c>
    </row>
    <row r="184" spans="1:3" x14ac:dyDescent="0.25">
      <c r="A184" s="49" t="s">
        <v>254</v>
      </c>
      <c r="B184" s="53" t="s">
        <v>78</v>
      </c>
      <c r="C184" s="49" t="s">
        <v>73</v>
      </c>
    </row>
    <row r="185" spans="1:3" x14ac:dyDescent="0.25">
      <c r="A185" s="49" t="s">
        <v>255</v>
      </c>
      <c r="B185" s="53" t="s">
        <v>78</v>
      </c>
      <c r="C185" s="49" t="s">
        <v>73</v>
      </c>
    </row>
    <row r="186" spans="1:3" x14ac:dyDescent="0.25">
      <c r="A186" s="49" t="s">
        <v>256</v>
      </c>
      <c r="B186" s="53" t="s">
        <v>78</v>
      </c>
      <c r="C186" s="49" t="s">
        <v>73</v>
      </c>
    </row>
    <row r="187" spans="1:3" x14ac:dyDescent="0.25">
      <c r="A187" s="49" t="s">
        <v>257</v>
      </c>
      <c r="B187" s="53" t="s">
        <v>78</v>
      </c>
      <c r="C187" s="49" t="s">
        <v>73</v>
      </c>
    </row>
    <row r="188" spans="1:3" x14ac:dyDescent="0.25">
      <c r="A188" s="49" t="s">
        <v>258</v>
      </c>
      <c r="B188" s="53" t="s">
        <v>78</v>
      </c>
      <c r="C188" s="49" t="s">
        <v>73</v>
      </c>
    </row>
    <row r="189" spans="1:3" x14ac:dyDescent="0.25">
      <c r="A189" s="49" t="s">
        <v>259</v>
      </c>
      <c r="B189" s="53" t="s">
        <v>78</v>
      </c>
      <c r="C189" s="49" t="s">
        <v>73</v>
      </c>
    </row>
    <row r="190" spans="1:3" x14ac:dyDescent="0.25">
      <c r="A190" s="49" t="s">
        <v>260</v>
      </c>
      <c r="B190" s="53" t="s">
        <v>78</v>
      </c>
      <c r="C190" s="49" t="s">
        <v>73</v>
      </c>
    </row>
    <row r="191" spans="1:3" x14ac:dyDescent="0.25">
      <c r="A191" s="49" t="s">
        <v>261</v>
      </c>
      <c r="B191" s="53" t="s">
        <v>78</v>
      </c>
      <c r="C191" s="49" t="s">
        <v>73</v>
      </c>
    </row>
    <row r="192" spans="1:3" x14ac:dyDescent="0.25">
      <c r="A192" s="49" t="s">
        <v>262</v>
      </c>
      <c r="B192" s="53" t="s">
        <v>78</v>
      </c>
      <c r="C192" s="49" t="s">
        <v>73</v>
      </c>
    </row>
    <row r="193" spans="1:3" x14ac:dyDescent="0.25">
      <c r="A193" s="49" t="s">
        <v>263</v>
      </c>
      <c r="B193" s="53" t="s">
        <v>78</v>
      </c>
      <c r="C193" s="49" t="s">
        <v>73</v>
      </c>
    </row>
    <row r="194" spans="1:3" x14ac:dyDescent="0.25">
      <c r="A194" s="49" t="s">
        <v>264</v>
      </c>
      <c r="B194" s="53" t="s">
        <v>78</v>
      </c>
      <c r="C194" s="49" t="s">
        <v>73</v>
      </c>
    </row>
    <row r="195" spans="1:3" x14ac:dyDescent="0.25">
      <c r="A195" s="49" t="s">
        <v>265</v>
      </c>
      <c r="B195" s="53" t="s">
        <v>78</v>
      </c>
      <c r="C195" s="49" t="s">
        <v>73</v>
      </c>
    </row>
    <row r="196" spans="1:3" x14ac:dyDescent="0.25">
      <c r="A196" s="49" t="s">
        <v>266</v>
      </c>
      <c r="B196" s="53" t="s">
        <v>78</v>
      </c>
      <c r="C196" s="49" t="s">
        <v>73</v>
      </c>
    </row>
    <row r="197" spans="1:3" x14ac:dyDescent="0.25">
      <c r="A197" s="49" t="s">
        <v>267</v>
      </c>
      <c r="B197" s="53" t="s">
        <v>78</v>
      </c>
      <c r="C197" s="49" t="s">
        <v>73</v>
      </c>
    </row>
    <row r="198" spans="1:3" x14ac:dyDescent="0.25">
      <c r="A198" s="49" t="s">
        <v>268</v>
      </c>
      <c r="B198" s="53" t="s">
        <v>78</v>
      </c>
      <c r="C198" s="49" t="s">
        <v>73</v>
      </c>
    </row>
    <row r="199" spans="1:3" x14ac:dyDescent="0.25">
      <c r="A199" s="49" t="s">
        <v>269</v>
      </c>
      <c r="B199" s="53" t="s">
        <v>78</v>
      </c>
      <c r="C199" s="49" t="s">
        <v>73</v>
      </c>
    </row>
    <row r="200" spans="1:3" x14ac:dyDescent="0.25">
      <c r="A200" s="49" t="s">
        <v>270</v>
      </c>
      <c r="B200" s="53" t="s">
        <v>78</v>
      </c>
      <c r="C200" s="49" t="s">
        <v>73</v>
      </c>
    </row>
    <row r="201" spans="1:3" x14ac:dyDescent="0.25">
      <c r="A201" s="49" t="s">
        <v>271</v>
      </c>
      <c r="B201" s="53" t="s">
        <v>78</v>
      </c>
      <c r="C201" s="49" t="s">
        <v>73</v>
      </c>
    </row>
    <row r="202" spans="1:3" x14ac:dyDescent="0.25">
      <c r="A202" s="49" t="s">
        <v>272</v>
      </c>
      <c r="B202" s="53" t="s">
        <v>78</v>
      </c>
      <c r="C202" s="49" t="s">
        <v>73</v>
      </c>
    </row>
    <row r="203" spans="1:3" x14ac:dyDescent="0.25">
      <c r="A203" s="49" t="s">
        <v>273</v>
      </c>
      <c r="B203" s="53" t="s">
        <v>78</v>
      </c>
      <c r="C203" s="49" t="s">
        <v>73</v>
      </c>
    </row>
    <row r="204" spans="1:3" x14ac:dyDescent="0.25">
      <c r="A204" s="49" t="s">
        <v>274</v>
      </c>
      <c r="B204" s="53" t="s">
        <v>78</v>
      </c>
      <c r="C204" s="49" t="s">
        <v>73</v>
      </c>
    </row>
    <row r="205" spans="1:3" x14ac:dyDescent="0.25">
      <c r="A205" s="49" t="s">
        <v>275</v>
      </c>
      <c r="B205" s="53" t="s">
        <v>78</v>
      </c>
      <c r="C205" s="49" t="s">
        <v>73</v>
      </c>
    </row>
    <row r="206" spans="1:3" x14ac:dyDescent="0.25">
      <c r="A206" s="49" t="s">
        <v>276</v>
      </c>
      <c r="B206" s="53" t="s">
        <v>78</v>
      </c>
      <c r="C206" s="49" t="s">
        <v>73</v>
      </c>
    </row>
    <row r="207" spans="1:3" x14ac:dyDescent="0.25">
      <c r="A207" s="49" t="s">
        <v>277</v>
      </c>
      <c r="B207" s="53" t="s">
        <v>78</v>
      </c>
      <c r="C207" s="49" t="s">
        <v>73</v>
      </c>
    </row>
    <row r="208" spans="1:3" x14ac:dyDescent="0.25">
      <c r="A208" s="49" t="s">
        <v>278</v>
      </c>
      <c r="B208" s="53" t="s">
        <v>78</v>
      </c>
      <c r="C208" s="49" t="s">
        <v>73</v>
      </c>
    </row>
    <row r="209" spans="1:3" x14ac:dyDescent="0.25">
      <c r="A209" s="49" t="s">
        <v>279</v>
      </c>
      <c r="B209" s="53" t="s">
        <v>78</v>
      </c>
      <c r="C209" s="49" t="s">
        <v>73</v>
      </c>
    </row>
    <row r="210" spans="1:3" x14ac:dyDescent="0.25">
      <c r="A210" s="49" t="s">
        <v>280</v>
      </c>
      <c r="B210" s="53" t="s">
        <v>78</v>
      </c>
      <c r="C210" s="49" t="s">
        <v>73</v>
      </c>
    </row>
    <row r="211" spans="1:3" x14ac:dyDescent="0.25">
      <c r="A211" s="49" t="s">
        <v>281</v>
      </c>
      <c r="B211" s="53" t="s">
        <v>78</v>
      </c>
      <c r="C211" s="49" t="s">
        <v>73</v>
      </c>
    </row>
    <row r="212" spans="1:3" x14ac:dyDescent="0.25">
      <c r="A212" s="49" t="s">
        <v>282</v>
      </c>
      <c r="B212" s="53" t="s">
        <v>78</v>
      </c>
      <c r="C212" s="49" t="s">
        <v>73</v>
      </c>
    </row>
    <row r="213" spans="1:3" x14ac:dyDescent="0.25">
      <c r="A213" s="49" t="s">
        <v>283</v>
      </c>
      <c r="B213" s="53" t="s">
        <v>78</v>
      </c>
      <c r="C213" s="49" t="s">
        <v>73</v>
      </c>
    </row>
    <row r="214" spans="1:3" x14ac:dyDescent="0.25">
      <c r="A214" s="49" t="s">
        <v>284</v>
      </c>
      <c r="B214" s="53" t="s">
        <v>78</v>
      </c>
      <c r="C214" s="49" t="s">
        <v>73</v>
      </c>
    </row>
    <row r="215" spans="1:3" x14ac:dyDescent="0.25">
      <c r="A215" s="49" t="s">
        <v>285</v>
      </c>
      <c r="B215" s="53" t="s">
        <v>78</v>
      </c>
      <c r="C215" s="49" t="s">
        <v>73</v>
      </c>
    </row>
    <row r="216" spans="1:3" x14ac:dyDescent="0.25">
      <c r="A216" s="49" t="s">
        <v>286</v>
      </c>
      <c r="B216" s="53" t="s">
        <v>78</v>
      </c>
      <c r="C216" s="49" t="s">
        <v>73</v>
      </c>
    </row>
    <row r="217" spans="1:3" x14ac:dyDescent="0.25">
      <c r="A217" s="49" t="s">
        <v>287</v>
      </c>
      <c r="B217" s="53" t="s">
        <v>78</v>
      </c>
      <c r="C217" s="49" t="s">
        <v>73</v>
      </c>
    </row>
    <row r="218" spans="1:3" x14ac:dyDescent="0.25">
      <c r="A218" s="49" t="s">
        <v>288</v>
      </c>
      <c r="B218" s="53" t="s">
        <v>78</v>
      </c>
      <c r="C218" s="49" t="s">
        <v>73</v>
      </c>
    </row>
    <row r="219" spans="1:3" x14ac:dyDescent="0.25">
      <c r="A219" s="49" t="s">
        <v>289</v>
      </c>
      <c r="B219" s="53" t="s">
        <v>78</v>
      </c>
      <c r="C219" s="49" t="s">
        <v>73</v>
      </c>
    </row>
    <row r="220" spans="1:3" x14ac:dyDescent="0.25">
      <c r="A220" s="49" t="s">
        <v>290</v>
      </c>
      <c r="B220" s="53" t="s">
        <v>78</v>
      </c>
      <c r="C220" s="49" t="s">
        <v>73</v>
      </c>
    </row>
    <row r="221" spans="1:3" x14ac:dyDescent="0.25">
      <c r="A221" s="49" t="s">
        <v>291</v>
      </c>
      <c r="B221" s="53" t="s">
        <v>78</v>
      </c>
      <c r="C221" s="49" t="s">
        <v>73</v>
      </c>
    </row>
    <row r="222" spans="1:3" x14ac:dyDescent="0.25">
      <c r="A222" s="49" t="s">
        <v>292</v>
      </c>
      <c r="B222" s="53" t="s">
        <v>78</v>
      </c>
      <c r="C222" s="49" t="s">
        <v>73</v>
      </c>
    </row>
    <row r="223" spans="1:3" x14ac:dyDescent="0.25">
      <c r="A223" s="49" t="s">
        <v>293</v>
      </c>
      <c r="B223" s="53" t="s">
        <v>78</v>
      </c>
      <c r="C223" s="49" t="s">
        <v>73</v>
      </c>
    </row>
    <row r="224" spans="1:3" x14ac:dyDescent="0.25">
      <c r="A224" s="49" t="s">
        <v>294</v>
      </c>
      <c r="B224" s="53" t="s">
        <v>78</v>
      </c>
      <c r="C224" s="49" t="s">
        <v>73</v>
      </c>
    </row>
    <row r="225" spans="1:3" x14ac:dyDescent="0.25">
      <c r="A225" s="49" t="s">
        <v>295</v>
      </c>
      <c r="B225" s="53" t="s">
        <v>78</v>
      </c>
      <c r="C225" s="49" t="s">
        <v>73</v>
      </c>
    </row>
    <row r="226" spans="1:3" x14ac:dyDescent="0.25">
      <c r="A226" s="49" t="s">
        <v>296</v>
      </c>
      <c r="B226" s="53" t="s">
        <v>78</v>
      </c>
      <c r="C226" s="49" t="s">
        <v>73</v>
      </c>
    </row>
    <row r="227" spans="1:3" x14ac:dyDescent="0.25">
      <c r="A227" s="49" t="s">
        <v>297</v>
      </c>
      <c r="B227" s="53" t="s">
        <v>78</v>
      </c>
      <c r="C227" s="49" t="s">
        <v>73</v>
      </c>
    </row>
    <row r="228" spans="1:3" x14ac:dyDescent="0.25">
      <c r="A228" s="49" t="s">
        <v>298</v>
      </c>
      <c r="B228" s="53" t="s">
        <v>78</v>
      </c>
      <c r="C228" s="49" t="s">
        <v>73</v>
      </c>
    </row>
    <row r="229" spans="1:3" x14ac:dyDescent="0.25">
      <c r="A229" s="49" t="s">
        <v>299</v>
      </c>
      <c r="B229" s="53" t="s">
        <v>78</v>
      </c>
      <c r="C229" s="49" t="s">
        <v>73</v>
      </c>
    </row>
    <row r="230" spans="1:3" x14ac:dyDescent="0.25">
      <c r="A230" s="49" t="s">
        <v>300</v>
      </c>
      <c r="B230" s="53" t="s">
        <v>78</v>
      </c>
      <c r="C230" s="49" t="s">
        <v>73</v>
      </c>
    </row>
    <row r="231" spans="1:3" x14ac:dyDescent="0.25">
      <c r="A231" s="49" t="s">
        <v>301</v>
      </c>
      <c r="B231" s="53" t="s">
        <v>78</v>
      </c>
      <c r="C231" s="49" t="s">
        <v>73</v>
      </c>
    </row>
    <row r="232" spans="1:3" x14ac:dyDescent="0.25">
      <c r="A232" s="49" t="s">
        <v>302</v>
      </c>
      <c r="B232" s="53" t="s">
        <v>78</v>
      </c>
      <c r="C232" s="49" t="s">
        <v>73</v>
      </c>
    </row>
    <row r="233" spans="1:3" x14ac:dyDescent="0.25">
      <c r="A233" s="49" t="s">
        <v>303</v>
      </c>
      <c r="B233" s="53" t="s">
        <v>78</v>
      </c>
      <c r="C233" s="49" t="s">
        <v>73</v>
      </c>
    </row>
    <row r="234" spans="1:3" x14ac:dyDescent="0.25">
      <c r="A234" s="49" t="s">
        <v>304</v>
      </c>
      <c r="B234" s="53" t="s">
        <v>78</v>
      </c>
      <c r="C234" s="49" t="s">
        <v>73</v>
      </c>
    </row>
    <row r="235" spans="1:3" x14ac:dyDescent="0.25">
      <c r="A235" s="49" t="s">
        <v>305</v>
      </c>
      <c r="B235" s="53" t="s">
        <v>78</v>
      </c>
      <c r="C235" s="49" t="s">
        <v>73</v>
      </c>
    </row>
    <row r="236" spans="1:3" x14ac:dyDescent="0.25">
      <c r="A236" s="49" t="s">
        <v>306</v>
      </c>
      <c r="B236" s="53" t="s">
        <v>78</v>
      </c>
      <c r="C236" s="49" t="s">
        <v>73</v>
      </c>
    </row>
    <row r="237" spans="1:3" x14ac:dyDescent="0.25">
      <c r="A237" s="49" t="s">
        <v>307</v>
      </c>
      <c r="B237" s="53" t="s">
        <v>78</v>
      </c>
      <c r="C237" s="49" t="s">
        <v>73</v>
      </c>
    </row>
    <row r="238" spans="1:3" x14ac:dyDescent="0.25">
      <c r="A238" s="49" t="s">
        <v>308</v>
      </c>
      <c r="B238" s="53" t="s">
        <v>78</v>
      </c>
      <c r="C238" s="49" t="s">
        <v>73</v>
      </c>
    </row>
    <row r="239" spans="1:3" x14ac:dyDescent="0.25">
      <c r="A239" s="49" t="s">
        <v>309</v>
      </c>
      <c r="B239" s="53" t="s">
        <v>78</v>
      </c>
      <c r="C239" s="49" t="s">
        <v>73</v>
      </c>
    </row>
    <row r="240" spans="1:3" x14ac:dyDescent="0.25">
      <c r="A240" s="49" t="s">
        <v>310</v>
      </c>
      <c r="B240" s="53" t="s">
        <v>78</v>
      </c>
      <c r="C240" s="49" t="s">
        <v>73</v>
      </c>
    </row>
    <row r="241" spans="1:3" x14ac:dyDescent="0.25">
      <c r="A241" s="49" t="s">
        <v>311</v>
      </c>
      <c r="B241" s="53" t="s">
        <v>78</v>
      </c>
      <c r="C241" s="49" t="s">
        <v>73</v>
      </c>
    </row>
    <row r="242" spans="1:3" x14ac:dyDescent="0.25">
      <c r="A242" s="49" t="s">
        <v>312</v>
      </c>
      <c r="B242" s="53" t="s">
        <v>78</v>
      </c>
      <c r="C242" s="49" t="s">
        <v>73</v>
      </c>
    </row>
    <row r="243" spans="1:3" x14ac:dyDescent="0.25">
      <c r="A243" s="49" t="s">
        <v>313</v>
      </c>
      <c r="B243" s="53" t="s">
        <v>78</v>
      </c>
      <c r="C243" s="49" t="s">
        <v>73</v>
      </c>
    </row>
    <row r="244" spans="1:3" x14ac:dyDescent="0.25">
      <c r="A244" s="49" t="s">
        <v>314</v>
      </c>
      <c r="B244" s="53" t="s">
        <v>78</v>
      </c>
      <c r="C244" s="49" t="s">
        <v>73</v>
      </c>
    </row>
    <row r="245" spans="1:3" x14ac:dyDescent="0.25">
      <c r="A245" s="49" t="s">
        <v>315</v>
      </c>
      <c r="B245" s="53" t="s">
        <v>78</v>
      </c>
      <c r="C245" s="49" t="s">
        <v>73</v>
      </c>
    </row>
    <row r="246" spans="1:3" x14ac:dyDescent="0.25">
      <c r="A246" s="49" t="s">
        <v>316</v>
      </c>
      <c r="B246" s="53" t="s">
        <v>78</v>
      </c>
      <c r="C246" s="49" t="s">
        <v>73</v>
      </c>
    </row>
    <row r="247" spans="1:3" x14ac:dyDescent="0.25">
      <c r="A247" s="49" t="s">
        <v>317</v>
      </c>
      <c r="B247" s="53" t="s">
        <v>78</v>
      </c>
      <c r="C247" s="49" t="s">
        <v>73</v>
      </c>
    </row>
    <row r="248" spans="1:3" x14ac:dyDescent="0.25">
      <c r="A248" s="49" t="s">
        <v>318</v>
      </c>
      <c r="B248" s="53" t="s">
        <v>78</v>
      </c>
      <c r="C248" s="49" t="s">
        <v>73</v>
      </c>
    </row>
    <row r="249" spans="1:3" x14ac:dyDescent="0.25">
      <c r="A249" s="49" t="s">
        <v>319</v>
      </c>
      <c r="B249" s="53" t="s">
        <v>78</v>
      </c>
      <c r="C249" s="49" t="s">
        <v>73</v>
      </c>
    </row>
    <row r="250" spans="1:3" x14ac:dyDescent="0.25">
      <c r="A250" s="49" t="s">
        <v>320</v>
      </c>
      <c r="B250" s="53" t="s">
        <v>78</v>
      </c>
      <c r="C250" s="49" t="s">
        <v>73</v>
      </c>
    </row>
    <row r="251" spans="1:3" x14ac:dyDescent="0.25">
      <c r="A251" s="49" t="s">
        <v>321</v>
      </c>
      <c r="B251" s="53" t="s">
        <v>78</v>
      </c>
      <c r="C251" s="49" t="s">
        <v>73</v>
      </c>
    </row>
    <row r="252" spans="1:3" x14ac:dyDescent="0.25">
      <c r="A252" s="49" t="s">
        <v>322</v>
      </c>
      <c r="B252" s="53" t="s">
        <v>78</v>
      </c>
      <c r="C252" s="49" t="s">
        <v>73</v>
      </c>
    </row>
    <row r="253" spans="1:3" x14ac:dyDescent="0.25">
      <c r="A253" s="49" t="s">
        <v>323</v>
      </c>
      <c r="B253" s="53" t="s">
        <v>78</v>
      </c>
      <c r="C253" s="49" t="s">
        <v>73</v>
      </c>
    </row>
    <row r="254" spans="1:3" x14ac:dyDescent="0.25">
      <c r="A254" s="49" t="s">
        <v>324</v>
      </c>
      <c r="B254" s="53" t="s">
        <v>78</v>
      </c>
      <c r="C254" s="49" t="s">
        <v>73</v>
      </c>
    </row>
    <row r="255" spans="1:3" x14ac:dyDescent="0.25">
      <c r="A255" s="49" t="s">
        <v>325</v>
      </c>
      <c r="B255" s="53" t="s">
        <v>78</v>
      </c>
      <c r="C255" s="49" t="s">
        <v>73</v>
      </c>
    </row>
    <row r="256" spans="1:3" x14ac:dyDescent="0.25">
      <c r="A256" s="49" t="s">
        <v>326</v>
      </c>
      <c r="B256" s="53" t="s">
        <v>78</v>
      </c>
      <c r="C256" s="49" t="s">
        <v>73</v>
      </c>
    </row>
    <row r="257" spans="1:3" x14ac:dyDescent="0.25">
      <c r="A257" s="49" t="s">
        <v>327</v>
      </c>
      <c r="B257" s="53" t="s">
        <v>78</v>
      </c>
      <c r="C257" s="49" t="s">
        <v>73</v>
      </c>
    </row>
    <row r="258" spans="1:3" x14ac:dyDescent="0.25">
      <c r="A258" s="49" t="s">
        <v>328</v>
      </c>
      <c r="B258" s="53" t="s">
        <v>78</v>
      </c>
      <c r="C258" s="49" t="s">
        <v>73</v>
      </c>
    </row>
    <row r="259" spans="1:3" x14ac:dyDescent="0.25">
      <c r="A259" s="49" t="s">
        <v>329</v>
      </c>
      <c r="B259" s="53" t="s">
        <v>78</v>
      </c>
      <c r="C259" s="49" t="s">
        <v>73</v>
      </c>
    </row>
    <row r="260" spans="1:3" x14ac:dyDescent="0.25">
      <c r="A260" s="49" t="s">
        <v>330</v>
      </c>
      <c r="B260" s="53" t="s">
        <v>78</v>
      </c>
      <c r="C260" s="49" t="s">
        <v>73</v>
      </c>
    </row>
    <row r="261" spans="1:3" x14ac:dyDescent="0.25">
      <c r="A261" s="49" t="s">
        <v>331</v>
      </c>
      <c r="B261" s="53" t="s">
        <v>78</v>
      </c>
      <c r="C261" s="49" t="s">
        <v>73</v>
      </c>
    </row>
    <row r="262" spans="1:3" x14ac:dyDescent="0.25">
      <c r="A262" s="49" t="s">
        <v>332</v>
      </c>
      <c r="B262" s="53" t="s">
        <v>78</v>
      </c>
      <c r="C262" s="49" t="s">
        <v>73</v>
      </c>
    </row>
    <row r="263" spans="1:3" x14ac:dyDescent="0.25">
      <c r="A263" s="49" t="s">
        <v>333</v>
      </c>
      <c r="B263" s="53" t="s">
        <v>78</v>
      </c>
      <c r="C263" s="49" t="s">
        <v>73</v>
      </c>
    </row>
    <row r="264" spans="1:3" x14ac:dyDescent="0.25">
      <c r="A264" s="49" t="s">
        <v>334</v>
      </c>
      <c r="B264" s="53" t="s">
        <v>78</v>
      </c>
      <c r="C264" s="49" t="s">
        <v>73</v>
      </c>
    </row>
    <row r="265" spans="1:3" x14ac:dyDescent="0.25">
      <c r="A265" s="49" t="s">
        <v>335</v>
      </c>
      <c r="B265" s="53" t="s">
        <v>78</v>
      </c>
      <c r="C265" s="49" t="s">
        <v>73</v>
      </c>
    </row>
    <row r="266" spans="1:3" x14ac:dyDescent="0.25">
      <c r="A266" s="49" t="s">
        <v>336</v>
      </c>
      <c r="B266" s="53" t="s">
        <v>78</v>
      </c>
      <c r="C266" s="49" t="s">
        <v>73</v>
      </c>
    </row>
    <row r="267" spans="1:3" x14ac:dyDescent="0.25">
      <c r="A267" s="49" t="s">
        <v>337</v>
      </c>
      <c r="B267" s="53" t="s">
        <v>78</v>
      </c>
      <c r="C267" s="49" t="s">
        <v>73</v>
      </c>
    </row>
    <row r="268" spans="1:3" x14ac:dyDescent="0.25">
      <c r="A268" s="49" t="s">
        <v>338</v>
      </c>
      <c r="B268" s="53" t="s">
        <v>78</v>
      </c>
      <c r="C268" s="49" t="s">
        <v>73</v>
      </c>
    </row>
    <row r="269" spans="1:3" x14ac:dyDescent="0.25">
      <c r="A269" s="49" t="s">
        <v>339</v>
      </c>
      <c r="B269" s="53" t="s">
        <v>78</v>
      </c>
      <c r="C269" s="49" t="s">
        <v>73</v>
      </c>
    </row>
    <row r="270" spans="1:3" x14ac:dyDescent="0.25">
      <c r="A270" s="49" t="s">
        <v>340</v>
      </c>
      <c r="B270" s="53" t="s">
        <v>78</v>
      </c>
      <c r="C270" s="49" t="s">
        <v>73</v>
      </c>
    </row>
    <row r="271" spans="1:3" x14ac:dyDescent="0.25">
      <c r="A271" s="49" t="s">
        <v>341</v>
      </c>
      <c r="B271" s="53" t="s">
        <v>78</v>
      </c>
      <c r="C271" s="49" t="s">
        <v>73</v>
      </c>
    </row>
    <row r="272" spans="1:3" x14ac:dyDescent="0.25">
      <c r="A272" s="49" t="s">
        <v>342</v>
      </c>
      <c r="B272" s="53" t="s">
        <v>78</v>
      </c>
      <c r="C272" s="49" t="s">
        <v>73</v>
      </c>
    </row>
    <row r="273" spans="1:3" x14ac:dyDescent="0.25">
      <c r="A273" s="49" t="s">
        <v>343</v>
      </c>
      <c r="B273" s="53" t="s">
        <v>78</v>
      </c>
      <c r="C273" s="49" t="s">
        <v>73</v>
      </c>
    </row>
    <row r="274" spans="1:3" x14ac:dyDescent="0.25">
      <c r="A274" s="49" t="s">
        <v>344</v>
      </c>
      <c r="B274" s="53" t="s">
        <v>78</v>
      </c>
      <c r="C274" s="49" t="s">
        <v>73</v>
      </c>
    </row>
    <row r="275" spans="1:3" x14ac:dyDescent="0.25">
      <c r="A275" s="49" t="s">
        <v>345</v>
      </c>
      <c r="B275" s="53" t="s">
        <v>78</v>
      </c>
      <c r="C275" s="49" t="s">
        <v>73</v>
      </c>
    </row>
    <row r="276" spans="1:3" x14ac:dyDescent="0.25">
      <c r="A276" s="49" t="s">
        <v>346</v>
      </c>
      <c r="B276" s="53" t="s">
        <v>78</v>
      </c>
      <c r="C276" s="49" t="s">
        <v>73</v>
      </c>
    </row>
    <row r="277" spans="1:3" x14ac:dyDescent="0.25">
      <c r="A277" s="49" t="s">
        <v>347</v>
      </c>
      <c r="B277" s="53" t="s">
        <v>78</v>
      </c>
      <c r="C277" s="49" t="s">
        <v>73</v>
      </c>
    </row>
    <row r="278" spans="1:3" x14ac:dyDescent="0.25">
      <c r="A278" s="49" t="s">
        <v>348</v>
      </c>
      <c r="B278" s="53" t="s">
        <v>78</v>
      </c>
      <c r="C278" s="49" t="s">
        <v>73</v>
      </c>
    </row>
    <row r="279" spans="1:3" x14ac:dyDescent="0.25">
      <c r="A279" s="49" t="s">
        <v>349</v>
      </c>
      <c r="B279" s="53" t="s">
        <v>78</v>
      </c>
      <c r="C279" s="49" t="s">
        <v>73</v>
      </c>
    </row>
    <row r="280" spans="1:3" x14ac:dyDescent="0.25">
      <c r="A280" s="49" t="s">
        <v>350</v>
      </c>
      <c r="B280" s="53" t="s">
        <v>78</v>
      </c>
      <c r="C280" s="49" t="s">
        <v>73</v>
      </c>
    </row>
    <row r="281" spans="1:3" x14ac:dyDescent="0.25">
      <c r="A281" s="49" t="s">
        <v>351</v>
      </c>
      <c r="B281" s="53" t="s">
        <v>78</v>
      </c>
      <c r="C281" s="49" t="s">
        <v>73</v>
      </c>
    </row>
    <row r="282" spans="1:3" x14ac:dyDescent="0.25">
      <c r="A282" s="49" t="s">
        <v>352</v>
      </c>
      <c r="B282" s="53" t="s">
        <v>78</v>
      </c>
      <c r="C282" s="49" t="s">
        <v>73</v>
      </c>
    </row>
    <row r="283" spans="1:3" x14ac:dyDescent="0.25">
      <c r="A283" s="49" t="s">
        <v>353</v>
      </c>
      <c r="B283" s="53" t="s">
        <v>78</v>
      </c>
      <c r="C283" s="49" t="s">
        <v>73</v>
      </c>
    </row>
    <row r="284" spans="1:3" x14ac:dyDescent="0.25">
      <c r="A284" s="49" t="s">
        <v>354</v>
      </c>
      <c r="B284" s="53" t="s">
        <v>78</v>
      </c>
      <c r="C284" s="49" t="s">
        <v>73</v>
      </c>
    </row>
    <row r="285" spans="1:3" x14ac:dyDescent="0.25">
      <c r="A285" s="49" t="s">
        <v>355</v>
      </c>
      <c r="B285" s="53" t="s">
        <v>78</v>
      </c>
      <c r="C285" s="49" t="s">
        <v>73</v>
      </c>
    </row>
    <row r="286" spans="1:3" x14ac:dyDescent="0.25">
      <c r="A286" s="49" t="s">
        <v>356</v>
      </c>
      <c r="B286" s="53" t="s">
        <v>78</v>
      </c>
      <c r="C286" s="49" t="s">
        <v>73</v>
      </c>
    </row>
    <row r="287" spans="1:3" x14ac:dyDescent="0.25">
      <c r="A287" s="49" t="s">
        <v>357</v>
      </c>
      <c r="B287" s="53" t="s">
        <v>78</v>
      </c>
      <c r="C287" s="49" t="s">
        <v>73</v>
      </c>
    </row>
    <row r="288" spans="1:3" x14ac:dyDescent="0.25">
      <c r="A288" s="49" t="s">
        <v>358</v>
      </c>
      <c r="B288" s="53" t="s">
        <v>78</v>
      </c>
      <c r="C288" s="49" t="s">
        <v>73</v>
      </c>
    </row>
    <row r="289" spans="1:3" x14ac:dyDescent="0.25">
      <c r="A289" s="49" t="s">
        <v>359</v>
      </c>
      <c r="B289" s="53" t="s">
        <v>78</v>
      </c>
      <c r="C289" s="49" t="s">
        <v>73</v>
      </c>
    </row>
    <row r="290" spans="1:3" x14ac:dyDescent="0.25">
      <c r="A290" s="49" t="s">
        <v>360</v>
      </c>
      <c r="B290" s="53" t="s">
        <v>78</v>
      </c>
      <c r="C290" s="49" t="s">
        <v>73</v>
      </c>
    </row>
    <row r="291" spans="1:3" x14ac:dyDescent="0.25">
      <c r="A291" s="49" t="s">
        <v>361</v>
      </c>
      <c r="B291" s="53" t="s">
        <v>78</v>
      </c>
      <c r="C291" s="49" t="s">
        <v>73</v>
      </c>
    </row>
    <row r="292" spans="1:3" x14ac:dyDescent="0.25">
      <c r="A292" s="49" t="s">
        <v>362</v>
      </c>
      <c r="B292" s="53" t="s">
        <v>78</v>
      </c>
      <c r="C292" s="49" t="s">
        <v>73</v>
      </c>
    </row>
    <row r="293" spans="1:3" x14ac:dyDescent="0.25">
      <c r="A293" s="49" t="s">
        <v>363</v>
      </c>
      <c r="B293" s="53" t="s">
        <v>78</v>
      </c>
      <c r="C293" s="49" t="s">
        <v>73</v>
      </c>
    </row>
    <row r="294" spans="1:3" x14ac:dyDescent="0.25">
      <c r="A294" s="49" t="s">
        <v>364</v>
      </c>
      <c r="B294" s="53" t="s">
        <v>78</v>
      </c>
      <c r="C294" s="49" t="s">
        <v>73</v>
      </c>
    </row>
    <row r="295" spans="1:3" x14ac:dyDescent="0.25">
      <c r="A295" s="49" t="s">
        <v>365</v>
      </c>
      <c r="B295" s="53" t="s">
        <v>78</v>
      </c>
      <c r="C295" s="49" t="s">
        <v>73</v>
      </c>
    </row>
    <row r="296" spans="1:3" x14ac:dyDescent="0.25">
      <c r="A296" s="49" t="s">
        <v>366</v>
      </c>
      <c r="B296" s="53" t="s">
        <v>78</v>
      </c>
      <c r="C296" s="49" t="s">
        <v>73</v>
      </c>
    </row>
    <row r="297" spans="1:3" x14ac:dyDescent="0.25">
      <c r="A297" s="49" t="s">
        <v>367</v>
      </c>
      <c r="B297" s="53" t="s">
        <v>78</v>
      </c>
      <c r="C297" s="49" t="s">
        <v>73</v>
      </c>
    </row>
    <row r="298" spans="1:3" x14ac:dyDescent="0.25">
      <c r="A298" s="49" t="s">
        <v>368</v>
      </c>
      <c r="B298" s="53" t="s">
        <v>78</v>
      </c>
      <c r="C298" s="49" t="s">
        <v>73</v>
      </c>
    </row>
    <row r="299" spans="1:3" x14ac:dyDescent="0.25">
      <c r="A299" s="49" t="s">
        <v>369</v>
      </c>
      <c r="B299" s="53" t="s">
        <v>78</v>
      </c>
      <c r="C299" s="49" t="s">
        <v>73</v>
      </c>
    </row>
    <row r="300" spans="1:3" x14ac:dyDescent="0.25">
      <c r="A300" s="49" t="s">
        <v>370</v>
      </c>
      <c r="B300" s="53" t="s">
        <v>78</v>
      </c>
      <c r="C300" s="49" t="s">
        <v>73</v>
      </c>
    </row>
    <row r="301" spans="1:3" x14ac:dyDescent="0.25">
      <c r="A301" s="49" t="s">
        <v>371</v>
      </c>
      <c r="B301" s="53" t="s">
        <v>78</v>
      </c>
      <c r="C301" s="49" t="s">
        <v>73</v>
      </c>
    </row>
    <row r="302" spans="1:3" x14ac:dyDescent="0.25">
      <c r="A302" s="49" t="s">
        <v>372</v>
      </c>
      <c r="B302" s="53" t="s">
        <v>78</v>
      </c>
      <c r="C302" s="49" t="s">
        <v>73</v>
      </c>
    </row>
    <row r="303" spans="1:3" x14ac:dyDescent="0.25">
      <c r="A303" s="49" t="s">
        <v>373</v>
      </c>
      <c r="B303" s="53" t="s">
        <v>78</v>
      </c>
      <c r="C303" s="49" t="s">
        <v>73</v>
      </c>
    </row>
    <row r="304" spans="1:3" x14ac:dyDescent="0.25">
      <c r="A304" s="49" t="s">
        <v>374</v>
      </c>
      <c r="B304" s="53" t="s">
        <v>78</v>
      </c>
      <c r="C304" s="49" t="s">
        <v>73</v>
      </c>
    </row>
    <row r="305" spans="1:3" x14ac:dyDescent="0.25">
      <c r="A305" s="49" t="s">
        <v>375</v>
      </c>
      <c r="B305" s="53" t="s">
        <v>78</v>
      </c>
      <c r="C305" s="49" t="s">
        <v>73</v>
      </c>
    </row>
    <row r="306" spans="1:3" x14ac:dyDescent="0.25">
      <c r="A306" s="49" t="s">
        <v>376</v>
      </c>
      <c r="B306" s="53" t="s">
        <v>78</v>
      </c>
      <c r="C306" s="49" t="s">
        <v>73</v>
      </c>
    </row>
    <row r="307" spans="1:3" x14ac:dyDescent="0.25">
      <c r="A307" s="49" t="s">
        <v>377</v>
      </c>
      <c r="B307" s="53" t="s">
        <v>78</v>
      </c>
      <c r="C307" s="49" t="s">
        <v>73</v>
      </c>
    </row>
    <row r="308" spans="1:3" x14ac:dyDescent="0.25">
      <c r="A308" s="49" t="s">
        <v>378</v>
      </c>
      <c r="B308" s="53" t="s">
        <v>78</v>
      </c>
      <c r="C308" s="49" t="s">
        <v>73</v>
      </c>
    </row>
    <row r="309" spans="1:3" x14ac:dyDescent="0.25">
      <c r="A309" s="49" t="s">
        <v>379</v>
      </c>
      <c r="B309" s="53" t="s">
        <v>78</v>
      </c>
      <c r="C309" s="49" t="s">
        <v>73</v>
      </c>
    </row>
    <row r="310" spans="1:3" x14ac:dyDescent="0.25">
      <c r="A310" s="49" t="s">
        <v>380</v>
      </c>
      <c r="B310" s="53" t="s">
        <v>78</v>
      </c>
      <c r="C310" s="49" t="s">
        <v>73</v>
      </c>
    </row>
    <row r="311" spans="1:3" x14ac:dyDescent="0.25">
      <c r="A311" s="49" t="s">
        <v>381</v>
      </c>
      <c r="B311" s="53" t="s">
        <v>78</v>
      </c>
      <c r="C311" s="49" t="s">
        <v>73</v>
      </c>
    </row>
    <row r="312" spans="1:3" x14ac:dyDescent="0.25">
      <c r="A312" s="49" t="s">
        <v>382</v>
      </c>
      <c r="B312" s="53" t="s">
        <v>78</v>
      </c>
      <c r="C312" s="49" t="s">
        <v>73</v>
      </c>
    </row>
    <row r="313" spans="1:3" x14ac:dyDescent="0.25">
      <c r="A313" s="49" t="s">
        <v>383</v>
      </c>
      <c r="B313" s="53" t="s">
        <v>78</v>
      </c>
      <c r="C313" s="49" t="s">
        <v>73</v>
      </c>
    </row>
    <row r="314" spans="1:3" x14ac:dyDescent="0.25">
      <c r="A314" s="49" t="s">
        <v>384</v>
      </c>
      <c r="B314" s="53" t="s">
        <v>78</v>
      </c>
      <c r="C314" s="49" t="s">
        <v>73</v>
      </c>
    </row>
    <row r="315" spans="1:3" x14ac:dyDescent="0.25">
      <c r="A315" s="49" t="s">
        <v>385</v>
      </c>
      <c r="B315" s="53" t="s">
        <v>78</v>
      </c>
      <c r="C315" s="49" t="s">
        <v>73</v>
      </c>
    </row>
    <row r="316" spans="1:3" x14ac:dyDescent="0.25">
      <c r="A316" s="49" t="s">
        <v>386</v>
      </c>
      <c r="B316" s="53" t="s">
        <v>78</v>
      </c>
      <c r="C316" s="49" t="s">
        <v>73</v>
      </c>
    </row>
    <row r="317" spans="1:3" x14ac:dyDescent="0.25">
      <c r="A317" s="49" t="s">
        <v>387</v>
      </c>
      <c r="B317" s="53" t="s">
        <v>78</v>
      </c>
      <c r="C317" s="49" t="s">
        <v>73</v>
      </c>
    </row>
    <row r="318" spans="1:3" x14ac:dyDescent="0.25">
      <c r="A318" s="49" t="s">
        <v>388</v>
      </c>
      <c r="B318" s="53" t="s">
        <v>78</v>
      </c>
      <c r="C318" s="49" t="s">
        <v>73</v>
      </c>
    </row>
    <row r="319" spans="1:3" x14ac:dyDescent="0.25">
      <c r="A319" s="49" t="s">
        <v>389</v>
      </c>
      <c r="B319" s="53" t="s">
        <v>78</v>
      </c>
      <c r="C319" s="49" t="s">
        <v>73</v>
      </c>
    </row>
    <row r="320" spans="1:3" x14ac:dyDescent="0.25">
      <c r="A320" s="49" t="s">
        <v>390</v>
      </c>
      <c r="B320" s="53" t="s">
        <v>78</v>
      </c>
      <c r="C320" s="49" t="s">
        <v>73</v>
      </c>
    </row>
    <row r="321" spans="1:3" x14ac:dyDescent="0.25">
      <c r="A321" s="49" t="s">
        <v>391</v>
      </c>
      <c r="B321" s="53" t="s">
        <v>78</v>
      </c>
      <c r="C321" s="49" t="s">
        <v>73</v>
      </c>
    </row>
    <row r="322" spans="1:3" x14ac:dyDescent="0.25">
      <c r="A322" s="49" t="s">
        <v>392</v>
      </c>
      <c r="B322" s="53" t="s">
        <v>78</v>
      </c>
      <c r="C322" s="49" t="s">
        <v>73</v>
      </c>
    </row>
    <row r="323" spans="1:3" x14ac:dyDescent="0.25">
      <c r="A323" s="49" t="s">
        <v>393</v>
      </c>
      <c r="B323" s="53" t="s">
        <v>78</v>
      </c>
      <c r="C323" s="49" t="s">
        <v>73</v>
      </c>
    </row>
    <row r="324" spans="1:3" x14ac:dyDescent="0.25">
      <c r="A324" s="49" t="s">
        <v>394</v>
      </c>
      <c r="B324" s="53" t="s">
        <v>78</v>
      </c>
      <c r="C324" s="49" t="s">
        <v>73</v>
      </c>
    </row>
    <row r="325" spans="1:3" x14ac:dyDescent="0.25">
      <c r="A325" s="49" t="s">
        <v>395</v>
      </c>
      <c r="B325" s="53" t="s">
        <v>78</v>
      </c>
      <c r="C325" s="49" t="s">
        <v>73</v>
      </c>
    </row>
    <row r="326" spans="1:3" x14ac:dyDescent="0.25">
      <c r="A326" s="49" t="s">
        <v>396</v>
      </c>
      <c r="B326" s="53" t="s">
        <v>78</v>
      </c>
      <c r="C326" s="49" t="s">
        <v>73</v>
      </c>
    </row>
    <row r="327" spans="1:3" x14ac:dyDescent="0.25">
      <c r="A327" s="49" t="s">
        <v>397</v>
      </c>
      <c r="B327" s="53" t="s">
        <v>78</v>
      </c>
      <c r="C327" s="49" t="s">
        <v>73</v>
      </c>
    </row>
    <row r="328" spans="1:3" x14ac:dyDescent="0.25">
      <c r="A328" s="49" t="s">
        <v>398</v>
      </c>
      <c r="B328" s="53" t="s">
        <v>78</v>
      </c>
      <c r="C328" s="49" t="s">
        <v>73</v>
      </c>
    </row>
    <row r="329" spans="1:3" x14ac:dyDescent="0.25">
      <c r="A329" s="49" t="s">
        <v>399</v>
      </c>
      <c r="B329" s="53" t="s">
        <v>78</v>
      </c>
      <c r="C329" s="49" t="s">
        <v>73</v>
      </c>
    </row>
    <row r="330" spans="1:3" x14ac:dyDescent="0.25">
      <c r="A330" s="49" t="s">
        <v>400</v>
      </c>
      <c r="B330" s="53" t="s">
        <v>78</v>
      </c>
      <c r="C330" s="49" t="s">
        <v>73</v>
      </c>
    </row>
    <row r="331" spans="1:3" x14ac:dyDescent="0.25">
      <c r="A331" s="49" t="s">
        <v>401</v>
      </c>
      <c r="B331" s="53" t="s">
        <v>78</v>
      </c>
      <c r="C331" s="49" t="s">
        <v>73</v>
      </c>
    </row>
    <row r="332" spans="1:3" x14ac:dyDescent="0.25">
      <c r="A332" s="49" t="s">
        <v>402</v>
      </c>
      <c r="B332" s="53" t="s">
        <v>78</v>
      </c>
      <c r="C332" s="49" t="s">
        <v>73</v>
      </c>
    </row>
    <row r="333" spans="1:3" x14ac:dyDescent="0.25">
      <c r="A333" s="49" t="s">
        <v>403</v>
      </c>
      <c r="B333" s="53" t="s">
        <v>78</v>
      </c>
      <c r="C333" s="49" t="s">
        <v>73</v>
      </c>
    </row>
    <row r="334" spans="1:3" x14ac:dyDescent="0.25">
      <c r="A334" s="49" t="s">
        <v>404</v>
      </c>
      <c r="B334" s="53" t="s">
        <v>78</v>
      </c>
      <c r="C334" s="49" t="s">
        <v>73</v>
      </c>
    </row>
    <row r="335" spans="1:3" x14ac:dyDescent="0.25">
      <c r="A335" s="49" t="s">
        <v>405</v>
      </c>
      <c r="B335" s="53" t="s">
        <v>78</v>
      </c>
      <c r="C335" s="49" t="s">
        <v>73</v>
      </c>
    </row>
    <row r="336" spans="1:3" x14ac:dyDescent="0.25">
      <c r="A336" s="49" t="s">
        <v>406</v>
      </c>
      <c r="B336" s="53" t="s">
        <v>78</v>
      </c>
      <c r="C336" s="49" t="s">
        <v>73</v>
      </c>
    </row>
    <row r="337" spans="1:3" x14ac:dyDescent="0.25">
      <c r="A337" s="49" t="s">
        <v>407</v>
      </c>
      <c r="B337" s="53" t="s">
        <v>78</v>
      </c>
      <c r="C337" s="49" t="s">
        <v>73</v>
      </c>
    </row>
    <row r="338" spans="1:3" x14ac:dyDescent="0.25">
      <c r="A338" s="49" t="s">
        <v>408</v>
      </c>
      <c r="B338" s="53" t="s">
        <v>78</v>
      </c>
      <c r="C338" s="49" t="s">
        <v>73</v>
      </c>
    </row>
    <row r="339" spans="1:3" x14ac:dyDescent="0.25">
      <c r="A339" s="49" t="s">
        <v>409</v>
      </c>
      <c r="B339" s="53" t="s">
        <v>78</v>
      </c>
      <c r="C339" s="49" t="s">
        <v>73</v>
      </c>
    </row>
    <row r="340" spans="1:3" x14ac:dyDescent="0.25">
      <c r="A340" s="49" t="s">
        <v>410</v>
      </c>
      <c r="B340" s="53" t="s">
        <v>78</v>
      </c>
      <c r="C340" s="49" t="s">
        <v>73</v>
      </c>
    </row>
    <row r="341" spans="1:3" x14ac:dyDescent="0.25">
      <c r="A341" s="49" t="s">
        <v>411</v>
      </c>
      <c r="B341" s="53" t="s">
        <v>78</v>
      </c>
      <c r="C341" s="49" t="s">
        <v>73</v>
      </c>
    </row>
    <row r="342" spans="1:3" x14ac:dyDescent="0.25">
      <c r="A342" s="49" t="s">
        <v>412</v>
      </c>
      <c r="B342" s="53" t="s">
        <v>78</v>
      </c>
      <c r="C342" s="49" t="s">
        <v>73</v>
      </c>
    </row>
    <row r="343" spans="1:3" x14ac:dyDescent="0.25">
      <c r="A343" s="49" t="s">
        <v>413</v>
      </c>
      <c r="B343" s="53" t="s">
        <v>78</v>
      </c>
      <c r="C343" s="49" t="s">
        <v>73</v>
      </c>
    </row>
    <row r="344" spans="1:3" x14ac:dyDescent="0.25">
      <c r="A344" s="49" t="s">
        <v>414</v>
      </c>
      <c r="B344" s="53" t="s">
        <v>78</v>
      </c>
      <c r="C344" s="49" t="s">
        <v>73</v>
      </c>
    </row>
    <row r="345" spans="1:3" x14ac:dyDescent="0.25">
      <c r="A345" s="49" t="s">
        <v>415</v>
      </c>
      <c r="B345" s="53" t="s">
        <v>78</v>
      </c>
      <c r="C345" s="49" t="s">
        <v>73</v>
      </c>
    </row>
    <row r="346" spans="1:3" x14ac:dyDescent="0.25">
      <c r="A346" s="49" t="s">
        <v>416</v>
      </c>
      <c r="B346" s="53" t="s">
        <v>78</v>
      </c>
      <c r="C346" s="49" t="s">
        <v>73</v>
      </c>
    </row>
    <row r="347" spans="1:3" x14ac:dyDescent="0.25">
      <c r="A347" s="49" t="s">
        <v>417</v>
      </c>
      <c r="B347" s="53" t="s">
        <v>78</v>
      </c>
      <c r="C347" s="49" t="s">
        <v>73</v>
      </c>
    </row>
    <row r="348" spans="1:3" x14ac:dyDescent="0.25">
      <c r="A348" s="49" t="s">
        <v>418</v>
      </c>
      <c r="B348" s="53" t="s">
        <v>78</v>
      </c>
      <c r="C348" s="49" t="s">
        <v>73</v>
      </c>
    </row>
    <row r="349" spans="1:3" x14ac:dyDescent="0.25">
      <c r="A349" s="49" t="s">
        <v>419</v>
      </c>
      <c r="B349" s="53" t="s">
        <v>78</v>
      </c>
      <c r="C349" s="49" t="s">
        <v>73</v>
      </c>
    </row>
    <row r="350" spans="1:3" x14ac:dyDescent="0.25">
      <c r="A350" s="49" t="s">
        <v>420</v>
      </c>
      <c r="B350" s="53" t="s">
        <v>78</v>
      </c>
      <c r="C350" s="49" t="s">
        <v>73</v>
      </c>
    </row>
    <row r="351" spans="1:3" x14ac:dyDescent="0.25">
      <c r="A351" s="49" t="s">
        <v>421</v>
      </c>
      <c r="B351" s="53" t="s">
        <v>78</v>
      </c>
      <c r="C351" s="49" t="s">
        <v>73</v>
      </c>
    </row>
    <row r="352" spans="1:3" x14ac:dyDescent="0.25">
      <c r="A352" s="49" t="s">
        <v>422</v>
      </c>
      <c r="B352" s="53" t="s">
        <v>78</v>
      </c>
      <c r="C352" s="49" t="s">
        <v>73</v>
      </c>
    </row>
    <row r="353" spans="1:3" x14ac:dyDescent="0.25">
      <c r="A353" s="49" t="s">
        <v>423</v>
      </c>
      <c r="B353" s="53" t="s">
        <v>78</v>
      </c>
      <c r="C353" s="49" t="s">
        <v>73</v>
      </c>
    </row>
    <row r="354" spans="1:3" x14ac:dyDescent="0.25">
      <c r="A354" s="49" t="s">
        <v>424</v>
      </c>
      <c r="B354" s="53" t="s">
        <v>78</v>
      </c>
      <c r="C354" s="49" t="s">
        <v>73</v>
      </c>
    </row>
    <row r="355" spans="1:3" x14ac:dyDescent="0.25">
      <c r="A355" s="49" t="s">
        <v>425</v>
      </c>
      <c r="B355" s="53" t="s">
        <v>78</v>
      </c>
      <c r="C355" s="49" t="s">
        <v>73</v>
      </c>
    </row>
    <row r="356" spans="1:3" x14ac:dyDescent="0.25">
      <c r="A356" s="49" t="s">
        <v>426</v>
      </c>
      <c r="B356" s="53" t="s">
        <v>78</v>
      </c>
      <c r="C356" s="49" t="s">
        <v>73</v>
      </c>
    </row>
    <row r="357" spans="1:3" x14ac:dyDescent="0.25">
      <c r="A357" s="49" t="s">
        <v>427</v>
      </c>
      <c r="B357" s="53" t="s">
        <v>78</v>
      </c>
      <c r="C357" s="49" t="s">
        <v>73</v>
      </c>
    </row>
    <row r="358" spans="1:3" x14ac:dyDescent="0.25">
      <c r="A358" s="49" t="s">
        <v>428</v>
      </c>
      <c r="B358" s="53" t="s">
        <v>78</v>
      </c>
      <c r="C358" s="49" t="s">
        <v>73</v>
      </c>
    </row>
    <row r="359" spans="1:3" x14ac:dyDescent="0.25">
      <c r="A359" s="49" t="s">
        <v>429</v>
      </c>
      <c r="B359" s="53" t="s">
        <v>78</v>
      </c>
      <c r="C359" s="49" t="s">
        <v>73</v>
      </c>
    </row>
    <row r="360" spans="1:3" x14ac:dyDescent="0.25">
      <c r="A360" s="49" t="s">
        <v>430</v>
      </c>
      <c r="B360" s="53" t="s">
        <v>78</v>
      </c>
      <c r="C360" s="49" t="s">
        <v>73</v>
      </c>
    </row>
    <row r="361" spans="1:3" x14ac:dyDescent="0.25">
      <c r="A361" s="49" t="s">
        <v>431</v>
      </c>
      <c r="B361" s="53" t="s">
        <v>78</v>
      </c>
      <c r="C361" s="49" t="s">
        <v>73</v>
      </c>
    </row>
    <row r="362" spans="1:3" x14ac:dyDescent="0.25">
      <c r="A362" s="49" t="s">
        <v>432</v>
      </c>
      <c r="B362" s="53" t="s">
        <v>78</v>
      </c>
      <c r="C362" s="49" t="s">
        <v>73</v>
      </c>
    </row>
    <row r="363" spans="1:3" x14ac:dyDescent="0.25">
      <c r="A363" s="49" t="s">
        <v>433</v>
      </c>
      <c r="B363" s="53" t="s">
        <v>78</v>
      </c>
      <c r="C363" s="49" t="s">
        <v>73</v>
      </c>
    </row>
    <row r="364" spans="1:3" x14ac:dyDescent="0.25">
      <c r="A364" s="49" t="s">
        <v>434</v>
      </c>
      <c r="B364" s="53" t="s">
        <v>78</v>
      </c>
      <c r="C364" s="49" t="s">
        <v>73</v>
      </c>
    </row>
    <row r="365" spans="1:3" x14ac:dyDescent="0.25">
      <c r="A365" s="49" t="s">
        <v>435</v>
      </c>
      <c r="B365" s="53" t="s">
        <v>78</v>
      </c>
      <c r="C365" s="49" t="s">
        <v>73</v>
      </c>
    </row>
    <row r="366" spans="1:3" x14ac:dyDescent="0.25">
      <c r="A366" s="49" t="s">
        <v>436</v>
      </c>
      <c r="B366" s="53" t="s">
        <v>78</v>
      </c>
      <c r="C366" s="49" t="s">
        <v>73</v>
      </c>
    </row>
    <row r="367" spans="1:3" x14ac:dyDescent="0.25">
      <c r="A367" s="49" t="s">
        <v>437</v>
      </c>
      <c r="B367" s="53" t="s">
        <v>78</v>
      </c>
      <c r="C367" s="49" t="s">
        <v>73</v>
      </c>
    </row>
    <row r="368" spans="1:3" x14ac:dyDescent="0.25">
      <c r="A368" s="49" t="s">
        <v>438</v>
      </c>
      <c r="B368" s="53" t="s">
        <v>78</v>
      </c>
      <c r="C368" s="49" t="s">
        <v>73</v>
      </c>
    </row>
    <row r="369" spans="1:3" x14ac:dyDescent="0.25">
      <c r="A369" s="49" t="s">
        <v>439</v>
      </c>
      <c r="B369" s="53" t="s">
        <v>78</v>
      </c>
      <c r="C369" s="49" t="s">
        <v>73</v>
      </c>
    </row>
    <row r="370" spans="1:3" x14ac:dyDescent="0.25">
      <c r="A370" s="49" t="s">
        <v>440</v>
      </c>
      <c r="B370" s="53" t="s">
        <v>78</v>
      </c>
      <c r="C370" s="49" t="s">
        <v>73</v>
      </c>
    </row>
    <row r="371" spans="1:3" x14ac:dyDescent="0.25">
      <c r="A371" s="49" t="s">
        <v>441</v>
      </c>
      <c r="B371" s="53" t="s">
        <v>78</v>
      </c>
      <c r="C371" s="49" t="s">
        <v>73</v>
      </c>
    </row>
    <row r="372" spans="1:3" x14ac:dyDescent="0.25">
      <c r="A372" s="49" t="s">
        <v>442</v>
      </c>
      <c r="B372" s="53" t="s">
        <v>78</v>
      </c>
      <c r="C372" s="49" t="s">
        <v>73</v>
      </c>
    </row>
    <row r="373" spans="1:3" x14ac:dyDescent="0.25">
      <c r="A373" s="49" t="s">
        <v>443</v>
      </c>
      <c r="B373" s="53" t="s">
        <v>78</v>
      </c>
      <c r="C373" s="49" t="s">
        <v>73</v>
      </c>
    </row>
    <row r="374" spans="1:3" x14ac:dyDescent="0.25">
      <c r="A374" s="49" t="s">
        <v>444</v>
      </c>
      <c r="B374" s="53" t="s">
        <v>78</v>
      </c>
      <c r="C374" s="49" t="s">
        <v>73</v>
      </c>
    </row>
    <row r="375" spans="1:3" x14ac:dyDescent="0.25">
      <c r="A375" s="49" t="s">
        <v>445</v>
      </c>
      <c r="B375" s="53" t="s">
        <v>78</v>
      </c>
      <c r="C375" s="49" t="s">
        <v>73</v>
      </c>
    </row>
    <row r="376" spans="1:3" x14ac:dyDescent="0.25">
      <c r="A376" s="49" t="s">
        <v>446</v>
      </c>
      <c r="B376" s="53" t="s">
        <v>78</v>
      </c>
      <c r="C376" s="49" t="s">
        <v>73</v>
      </c>
    </row>
    <row r="377" spans="1:3" x14ac:dyDescent="0.25">
      <c r="A377" s="49" t="s">
        <v>447</v>
      </c>
      <c r="B377" s="53" t="s">
        <v>78</v>
      </c>
      <c r="C377" s="49" t="s">
        <v>73</v>
      </c>
    </row>
    <row r="378" spans="1:3" x14ac:dyDescent="0.25">
      <c r="A378" s="49" t="s">
        <v>448</v>
      </c>
      <c r="B378" s="53" t="s">
        <v>78</v>
      </c>
      <c r="C378" s="49" t="s">
        <v>73</v>
      </c>
    </row>
    <row r="379" spans="1:3" x14ac:dyDescent="0.25">
      <c r="A379" s="49" t="s">
        <v>449</v>
      </c>
      <c r="B379" s="53" t="s">
        <v>78</v>
      </c>
      <c r="C379" s="49" t="s">
        <v>73</v>
      </c>
    </row>
    <row r="380" spans="1:3" x14ac:dyDescent="0.25">
      <c r="A380" s="49" t="s">
        <v>450</v>
      </c>
      <c r="B380" s="53" t="s">
        <v>78</v>
      </c>
      <c r="C380" s="49" t="s">
        <v>73</v>
      </c>
    </row>
    <row r="381" spans="1:3" x14ac:dyDescent="0.25">
      <c r="A381" s="49" t="s">
        <v>451</v>
      </c>
      <c r="B381" s="53" t="s">
        <v>78</v>
      </c>
      <c r="C381" s="49" t="s">
        <v>73</v>
      </c>
    </row>
    <row r="382" spans="1:3" x14ac:dyDescent="0.25">
      <c r="A382" s="49" t="s">
        <v>452</v>
      </c>
      <c r="B382" s="53" t="s">
        <v>78</v>
      </c>
      <c r="C382" s="49" t="s">
        <v>73</v>
      </c>
    </row>
    <row r="383" spans="1:3" x14ac:dyDescent="0.25">
      <c r="A383" s="49" t="s">
        <v>453</v>
      </c>
      <c r="B383" s="53" t="s">
        <v>78</v>
      </c>
      <c r="C383" s="49" t="s">
        <v>73</v>
      </c>
    </row>
    <row r="384" spans="1:3" x14ac:dyDescent="0.25">
      <c r="A384" s="49" t="s">
        <v>454</v>
      </c>
      <c r="B384" s="53" t="s">
        <v>78</v>
      </c>
      <c r="C384" s="49" t="s">
        <v>73</v>
      </c>
    </row>
    <row r="385" spans="1:3" x14ac:dyDescent="0.25">
      <c r="A385" s="49" t="s">
        <v>455</v>
      </c>
      <c r="B385" s="53" t="s">
        <v>78</v>
      </c>
      <c r="C385" s="49" t="s">
        <v>73</v>
      </c>
    </row>
    <row r="386" spans="1:3" x14ac:dyDescent="0.25">
      <c r="A386" s="49" t="s">
        <v>456</v>
      </c>
      <c r="B386" s="53" t="s">
        <v>78</v>
      </c>
      <c r="C386" s="49" t="s">
        <v>73</v>
      </c>
    </row>
    <row r="387" spans="1:3" x14ac:dyDescent="0.25">
      <c r="A387" s="49" t="s">
        <v>457</v>
      </c>
      <c r="B387" s="53" t="s">
        <v>78</v>
      </c>
      <c r="C387" s="49" t="s">
        <v>73</v>
      </c>
    </row>
    <row r="388" spans="1:3" x14ac:dyDescent="0.25">
      <c r="A388" s="49" t="s">
        <v>458</v>
      </c>
      <c r="B388" s="53" t="s">
        <v>78</v>
      </c>
      <c r="C388" s="49" t="s">
        <v>73</v>
      </c>
    </row>
    <row r="389" spans="1:3" x14ac:dyDescent="0.25">
      <c r="A389" s="49" t="s">
        <v>459</v>
      </c>
      <c r="B389" s="53" t="s">
        <v>78</v>
      </c>
      <c r="C389" s="49" t="s">
        <v>73</v>
      </c>
    </row>
    <row r="390" spans="1:3" x14ac:dyDescent="0.25">
      <c r="A390" s="49" t="s">
        <v>460</v>
      </c>
      <c r="B390" s="53" t="s">
        <v>78</v>
      </c>
      <c r="C390" s="49" t="s">
        <v>73</v>
      </c>
    </row>
    <row r="391" spans="1:3" x14ac:dyDescent="0.25">
      <c r="A391" s="49" t="s">
        <v>461</v>
      </c>
      <c r="B391" s="53" t="s">
        <v>78</v>
      </c>
      <c r="C391" s="49" t="s">
        <v>73</v>
      </c>
    </row>
    <row r="392" spans="1:3" x14ac:dyDescent="0.25">
      <c r="A392" s="49" t="s">
        <v>462</v>
      </c>
      <c r="B392" s="53" t="s">
        <v>78</v>
      </c>
      <c r="C392" s="49" t="s">
        <v>73</v>
      </c>
    </row>
    <row r="393" spans="1:3" x14ac:dyDescent="0.25">
      <c r="A393" s="49" t="s">
        <v>463</v>
      </c>
      <c r="B393" s="53" t="s">
        <v>78</v>
      </c>
      <c r="C393" s="49" t="s">
        <v>73</v>
      </c>
    </row>
    <row r="394" spans="1:3" x14ac:dyDescent="0.25">
      <c r="A394" s="49" t="s">
        <v>464</v>
      </c>
      <c r="B394" s="53" t="s">
        <v>78</v>
      </c>
      <c r="C394" s="49" t="s">
        <v>73</v>
      </c>
    </row>
    <row r="395" spans="1:3" x14ac:dyDescent="0.25">
      <c r="A395" s="49" t="s">
        <v>465</v>
      </c>
      <c r="B395" s="53" t="s">
        <v>78</v>
      </c>
      <c r="C395" s="49" t="s">
        <v>73</v>
      </c>
    </row>
    <row r="396" spans="1:3" x14ac:dyDescent="0.25">
      <c r="A396" s="49" t="s">
        <v>466</v>
      </c>
      <c r="B396" s="53" t="s">
        <v>78</v>
      </c>
      <c r="C396" s="49" t="s">
        <v>73</v>
      </c>
    </row>
    <row r="397" spans="1:3" x14ac:dyDescent="0.25">
      <c r="A397" s="49" t="s">
        <v>467</v>
      </c>
      <c r="B397" s="53" t="s">
        <v>78</v>
      </c>
      <c r="C397" s="49" t="s">
        <v>73</v>
      </c>
    </row>
    <row r="398" spans="1:3" x14ac:dyDescent="0.25">
      <c r="A398" s="49" t="s">
        <v>468</v>
      </c>
      <c r="B398" s="53" t="s">
        <v>78</v>
      </c>
      <c r="C398" s="49" t="s">
        <v>73</v>
      </c>
    </row>
    <row r="399" spans="1:3" x14ac:dyDescent="0.25">
      <c r="A399" s="49" t="s">
        <v>469</v>
      </c>
      <c r="B399" s="53" t="s">
        <v>78</v>
      </c>
      <c r="C399" s="49" t="s">
        <v>73</v>
      </c>
    </row>
    <row r="400" spans="1:3" x14ac:dyDescent="0.25">
      <c r="A400" s="49" t="s">
        <v>470</v>
      </c>
      <c r="B400" s="53" t="s">
        <v>78</v>
      </c>
      <c r="C400" s="49" t="s">
        <v>73</v>
      </c>
    </row>
    <row r="401" spans="1:3" x14ac:dyDescent="0.25">
      <c r="A401" s="49" t="s">
        <v>471</v>
      </c>
      <c r="B401" s="53" t="s">
        <v>78</v>
      </c>
      <c r="C401" s="49" t="s">
        <v>73</v>
      </c>
    </row>
    <row r="402" spans="1:3" x14ac:dyDescent="0.25">
      <c r="A402" s="49" t="s">
        <v>472</v>
      </c>
      <c r="B402" s="53" t="s">
        <v>78</v>
      </c>
      <c r="C402" s="49" t="s">
        <v>73</v>
      </c>
    </row>
    <row r="403" spans="1:3" x14ac:dyDescent="0.25">
      <c r="A403" s="49" t="s">
        <v>473</v>
      </c>
      <c r="B403" s="53" t="s">
        <v>78</v>
      </c>
      <c r="C403" s="49" t="s">
        <v>73</v>
      </c>
    </row>
    <row r="404" spans="1:3" x14ac:dyDescent="0.25">
      <c r="A404" s="49" t="s">
        <v>474</v>
      </c>
      <c r="B404" s="53" t="s">
        <v>78</v>
      </c>
      <c r="C404" s="49" t="s">
        <v>73</v>
      </c>
    </row>
    <row r="405" spans="1:3" x14ac:dyDescent="0.25">
      <c r="A405" s="49" t="s">
        <v>475</v>
      </c>
      <c r="B405" s="53" t="s">
        <v>78</v>
      </c>
      <c r="C405" s="49" t="s">
        <v>73</v>
      </c>
    </row>
    <row r="406" spans="1:3" x14ac:dyDescent="0.25">
      <c r="A406" s="49" t="s">
        <v>476</v>
      </c>
      <c r="B406" s="53" t="s">
        <v>78</v>
      </c>
      <c r="C406" s="49" t="s">
        <v>73</v>
      </c>
    </row>
    <row r="407" spans="1:3" x14ac:dyDescent="0.25">
      <c r="A407" s="49" t="s">
        <v>477</v>
      </c>
      <c r="B407" s="53" t="s">
        <v>78</v>
      </c>
      <c r="C407" s="49" t="s">
        <v>73</v>
      </c>
    </row>
    <row r="408" spans="1:3" x14ac:dyDescent="0.25">
      <c r="A408" s="49" t="s">
        <v>478</v>
      </c>
      <c r="B408" s="53" t="s">
        <v>78</v>
      </c>
      <c r="C408" s="49" t="s">
        <v>73</v>
      </c>
    </row>
    <row r="409" spans="1:3" x14ac:dyDescent="0.25">
      <c r="A409" s="49" t="s">
        <v>479</v>
      </c>
      <c r="B409" s="53" t="s">
        <v>78</v>
      </c>
      <c r="C409" s="49" t="s">
        <v>73</v>
      </c>
    </row>
    <row r="410" spans="1:3" x14ac:dyDescent="0.25">
      <c r="A410" s="49" t="s">
        <v>480</v>
      </c>
      <c r="B410" s="53" t="s">
        <v>78</v>
      </c>
      <c r="C410" s="49" t="s">
        <v>73</v>
      </c>
    </row>
    <row r="411" spans="1:3" x14ac:dyDescent="0.25">
      <c r="A411" s="49" t="s">
        <v>481</v>
      </c>
      <c r="B411" s="53" t="s">
        <v>78</v>
      </c>
      <c r="C411" s="49" t="s">
        <v>73</v>
      </c>
    </row>
    <row r="412" spans="1:3" x14ac:dyDescent="0.25">
      <c r="A412" s="49" t="s">
        <v>482</v>
      </c>
      <c r="B412" s="53" t="s">
        <v>78</v>
      </c>
      <c r="C412" s="49" t="s">
        <v>73</v>
      </c>
    </row>
    <row r="413" spans="1:3" x14ac:dyDescent="0.25">
      <c r="A413" s="49" t="s">
        <v>483</v>
      </c>
      <c r="B413" s="53" t="s">
        <v>78</v>
      </c>
      <c r="C413" s="49" t="s">
        <v>73</v>
      </c>
    </row>
    <row r="414" spans="1:3" x14ac:dyDescent="0.25">
      <c r="A414" s="49" t="s">
        <v>484</v>
      </c>
      <c r="B414" s="53" t="s">
        <v>78</v>
      </c>
      <c r="C414" s="49" t="s">
        <v>73</v>
      </c>
    </row>
    <row r="415" spans="1:3" x14ac:dyDescent="0.25">
      <c r="A415" s="49" t="s">
        <v>485</v>
      </c>
      <c r="B415" s="53" t="s">
        <v>78</v>
      </c>
      <c r="C415" s="49" t="s">
        <v>73</v>
      </c>
    </row>
    <row r="416" spans="1:3" x14ac:dyDescent="0.25">
      <c r="A416" s="49" t="s">
        <v>486</v>
      </c>
      <c r="B416" s="53" t="s">
        <v>78</v>
      </c>
      <c r="C416" s="49" t="s">
        <v>73</v>
      </c>
    </row>
    <row r="417" spans="1:3" x14ac:dyDescent="0.25">
      <c r="A417" s="49" t="s">
        <v>487</v>
      </c>
      <c r="B417" s="53" t="s">
        <v>78</v>
      </c>
      <c r="C417" s="49" t="s">
        <v>73</v>
      </c>
    </row>
    <row r="418" spans="1:3" x14ac:dyDescent="0.25">
      <c r="A418" s="49" t="s">
        <v>488</v>
      </c>
      <c r="B418" s="53" t="s">
        <v>78</v>
      </c>
      <c r="C418" s="49" t="s">
        <v>73</v>
      </c>
    </row>
    <row r="419" spans="1:3" x14ac:dyDescent="0.25">
      <c r="A419" s="49" t="s">
        <v>489</v>
      </c>
      <c r="B419" s="53" t="s">
        <v>78</v>
      </c>
      <c r="C419" s="49" t="s">
        <v>73</v>
      </c>
    </row>
    <row r="420" spans="1:3" x14ac:dyDescent="0.25">
      <c r="A420" s="49" t="s">
        <v>490</v>
      </c>
      <c r="B420" s="53" t="s">
        <v>78</v>
      </c>
      <c r="C420" s="49" t="s">
        <v>73</v>
      </c>
    </row>
    <row r="421" spans="1:3" x14ac:dyDescent="0.25">
      <c r="A421" s="49" t="s">
        <v>491</v>
      </c>
      <c r="B421" s="53" t="s">
        <v>78</v>
      </c>
      <c r="C421" s="49" t="s">
        <v>73</v>
      </c>
    </row>
    <row r="422" spans="1:3" x14ac:dyDescent="0.25">
      <c r="A422" s="49" t="s">
        <v>492</v>
      </c>
      <c r="B422" s="53" t="s">
        <v>78</v>
      </c>
      <c r="C422" s="49" t="s">
        <v>73</v>
      </c>
    </row>
    <row r="423" spans="1:3" x14ac:dyDescent="0.25">
      <c r="A423" s="49" t="s">
        <v>493</v>
      </c>
      <c r="B423" s="53" t="s">
        <v>78</v>
      </c>
      <c r="C423" s="49" t="s">
        <v>73</v>
      </c>
    </row>
    <row r="424" spans="1:3" x14ac:dyDescent="0.25">
      <c r="A424" s="49" t="s">
        <v>494</v>
      </c>
      <c r="B424" s="53" t="s">
        <v>78</v>
      </c>
      <c r="C424" s="49" t="s">
        <v>73</v>
      </c>
    </row>
    <row r="425" spans="1:3" x14ac:dyDescent="0.25">
      <c r="A425" s="49" t="s">
        <v>495</v>
      </c>
      <c r="B425" s="53" t="s">
        <v>78</v>
      </c>
      <c r="C425" s="49" t="s">
        <v>73</v>
      </c>
    </row>
    <row r="426" spans="1:3" x14ac:dyDescent="0.25">
      <c r="A426" s="49" t="s">
        <v>496</v>
      </c>
      <c r="B426" s="53" t="s">
        <v>78</v>
      </c>
      <c r="C426" s="49" t="s">
        <v>73</v>
      </c>
    </row>
    <row r="427" spans="1:3" x14ac:dyDescent="0.25">
      <c r="A427" s="49" t="s">
        <v>497</v>
      </c>
      <c r="B427" s="53" t="s">
        <v>78</v>
      </c>
      <c r="C427" s="49" t="s">
        <v>73</v>
      </c>
    </row>
    <row r="428" spans="1:3" x14ac:dyDescent="0.25">
      <c r="A428" s="49" t="s">
        <v>498</v>
      </c>
      <c r="B428" s="53" t="s">
        <v>78</v>
      </c>
      <c r="C428" s="49" t="s">
        <v>73</v>
      </c>
    </row>
    <row r="429" spans="1:3" x14ac:dyDescent="0.25">
      <c r="A429" s="49" t="s">
        <v>499</v>
      </c>
      <c r="B429" s="53" t="s">
        <v>78</v>
      </c>
      <c r="C429" s="49" t="s">
        <v>73</v>
      </c>
    </row>
    <row r="430" spans="1:3" x14ac:dyDescent="0.25">
      <c r="A430" s="49" t="s">
        <v>500</v>
      </c>
      <c r="B430" s="53" t="s">
        <v>78</v>
      </c>
      <c r="C430" s="49" t="s">
        <v>73</v>
      </c>
    </row>
    <row r="431" spans="1:3" x14ac:dyDescent="0.25">
      <c r="A431" s="49" t="s">
        <v>501</v>
      </c>
      <c r="B431" s="53" t="s">
        <v>78</v>
      </c>
      <c r="C431" s="49" t="s">
        <v>73</v>
      </c>
    </row>
    <row r="432" spans="1:3" x14ac:dyDescent="0.25">
      <c r="A432" s="49" t="s">
        <v>502</v>
      </c>
      <c r="B432" s="53" t="s">
        <v>78</v>
      </c>
      <c r="C432" s="49" t="s">
        <v>73</v>
      </c>
    </row>
    <row r="433" spans="1:3" x14ac:dyDescent="0.25">
      <c r="A433" s="49" t="s">
        <v>503</v>
      </c>
      <c r="B433" s="53" t="s">
        <v>78</v>
      </c>
      <c r="C433" s="49" t="s">
        <v>73</v>
      </c>
    </row>
    <row r="434" spans="1:3" x14ac:dyDescent="0.25">
      <c r="A434" s="49" t="s">
        <v>504</v>
      </c>
      <c r="B434" s="53" t="s">
        <v>78</v>
      </c>
      <c r="C434" s="49" t="s">
        <v>73</v>
      </c>
    </row>
    <row r="435" spans="1:3" x14ac:dyDescent="0.25">
      <c r="A435" s="49" t="s">
        <v>505</v>
      </c>
      <c r="B435" s="53" t="s">
        <v>78</v>
      </c>
      <c r="C435" s="49" t="s">
        <v>73</v>
      </c>
    </row>
    <row r="436" spans="1:3" x14ac:dyDescent="0.25">
      <c r="A436" s="49" t="s">
        <v>506</v>
      </c>
      <c r="B436" s="53" t="s">
        <v>78</v>
      </c>
      <c r="C436" s="49" t="s">
        <v>73</v>
      </c>
    </row>
    <row r="437" spans="1:3" x14ac:dyDescent="0.25">
      <c r="A437" s="49" t="s">
        <v>507</v>
      </c>
      <c r="B437" s="53" t="s">
        <v>78</v>
      </c>
      <c r="C437" s="49" t="s">
        <v>73</v>
      </c>
    </row>
    <row r="438" spans="1:3" x14ac:dyDescent="0.25">
      <c r="A438" s="49" t="s">
        <v>508</v>
      </c>
      <c r="B438" s="53" t="s">
        <v>78</v>
      </c>
      <c r="C438" s="49" t="s">
        <v>73</v>
      </c>
    </row>
    <row r="439" spans="1:3" x14ac:dyDescent="0.25">
      <c r="A439" s="49" t="s">
        <v>509</v>
      </c>
      <c r="B439" s="53" t="s">
        <v>78</v>
      </c>
      <c r="C439" s="49" t="s">
        <v>73</v>
      </c>
    </row>
    <row r="440" spans="1:3" x14ac:dyDescent="0.25">
      <c r="A440" s="49" t="s">
        <v>510</v>
      </c>
      <c r="B440" s="53" t="s">
        <v>78</v>
      </c>
      <c r="C440" s="49" t="s">
        <v>73</v>
      </c>
    </row>
    <row r="441" spans="1:3" x14ac:dyDescent="0.25">
      <c r="A441" s="49" t="s">
        <v>511</v>
      </c>
      <c r="B441" s="53" t="s">
        <v>78</v>
      </c>
      <c r="C441" s="49" t="s">
        <v>73</v>
      </c>
    </row>
    <row r="442" spans="1:3" x14ac:dyDescent="0.25">
      <c r="A442" s="49" t="s">
        <v>512</v>
      </c>
      <c r="B442" s="53" t="s">
        <v>78</v>
      </c>
      <c r="C442" s="49" t="s">
        <v>73</v>
      </c>
    </row>
    <row r="443" spans="1:3" x14ac:dyDescent="0.25">
      <c r="A443" s="49" t="s">
        <v>513</v>
      </c>
      <c r="B443" s="53" t="s">
        <v>78</v>
      </c>
      <c r="C443" s="49" t="s">
        <v>73</v>
      </c>
    </row>
    <row r="444" spans="1:3" x14ac:dyDescent="0.25">
      <c r="A444" s="49" t="s">
        <v>514</v>
      </c>
      <c r="B444" s="53" t="s">
        <v>78</v>
      </c>
      <c r="C444" s="49" t="s">
        <v>73</v>
      </c>
    </row>
    <row r="445" spans="1:3" x14ac:dyDescent="0.25">
      <c r="A445" s="49" t="s">
        <v>515</v>
      </c>
      <c r="B445" s="53" t="s">
        <v>78</v>
      </c>
      <c r="C445" s="49" t="s">
        <v>73</v>
      </c>
    </row>
    <row r="446" spans="1:3" x14ac:dyDescent="0.25">
      <c r="A446" s="49" t="s">
        <v>516</v>
      </c>
      <c r="B446" s="53" t="s">
        <v>78</v>
      </c>
      <c r="C446" s="49" t="s">
        <v>73</v>
      </c>
    </row>
    <row r="447" spans="1:3" x14ac:dyDescent="0.25">
      <c r="A447" s="49" t="s">
        <v>517</v>
      </c>
      <c r="B447" s="53" t="s">
        <v>78</v>
      </c>
      <c r="C447" s="49" t="s">
        <v>73</v>
      </c>
    </row>
    <row r="448" spans="1:3" x14ac:dyDescent="0.25">
      <c r="A448" s="49" t="s">
        <v>518</v>
      </c>
      <c r="B448" s="53" t="s">
        <v>78</v>
      </c>
      <c r="C448" s="49" t="s">
        <v>73</v>
      </c>
    </row>
    <row r="449" spans="1:3" x14ac:dyDescent="0.25">
      <c r="A449" s="49" t="s">
        <v>519</v>
      </c>
      <c r="B449" s="53" t="s">
        <v>78</v>
      </c>
      <c r="C449" s="49" t="s">
        <v>73</v>
      </c>
    </row>
    <row r="450" spans="1:3" x14ac:dyDescent="0.25">
      <c r="A450" s="49" t="s">
        <v>520</v>
      </c>
      <c r="B450" s="53" t="s">
        <v>78</v>
      </c>
      <c r="C450" s="49" t="s">
        <v>73</v>
      </c>
    </row>
    <row r="451" spans="1:3" x14ac:dyDescent="0.25">
      <c r="A451" s="49" t="s">
        <v>521</v>
      </c>
      <c r="B451" s="53" t="s">
        <v>78</v>
      </c>
      <c r="C451" s="49" t="s">
        <v>73</v>
      </c>
    </row>
    <row r="452" spans="1:3" x14ac:dyDescent="0.25">
      <c r="A452" s="49" t="s">
        <v>522</v>
      </c>
      <c r="B452" s="53" t="s">
        <v>78</v>
      </c>
      <c r="C452" s="49" t="s">
        <v>73</v>
      </c>
    </row>
    <row r="453" spans="1:3" x14ac:dyDescent="0.25">
      <c r="A453" s="49" t="s">
        <v>523</v>
      </c>
      <c r="B453" s="53" t="s">
        <v>78</v>
      </c>
      <c r="C453" s="49" t="s">
        <v>73</v>
      </c>
    </row>
    <row r="454" spans="1:3" x14ac:dyDescent="0.25">
      <c r="A454" s="49" t="s">
        <v>524</v>
      </c>
      <c r="B454" s="53" t="s">
        <v>78</v>
      </c>
      <c r="C454" s="49" t="s">
        <v>73</v>
      </c>
    </row>
    <row r="455" spans="1:3" x14ac:dyDescent="0.25">
      <c r="A455" s="49" t="s">
        <v>525</v>
      </c>
      <c r="B455" s="53" t="s">
        <v>78</v>
      </c>
      <c r="C455" s="49" t="s">
        <v>73</v>
      </c>
    </row>
    <row r="456" spans="1:3" x14ac:dyDescent="0.25">
      <c r="A456" s="49" t="s">
        <v>526</v>
      </c>
      <c r="B456" s="53" t="s">
        <v>78</v>
      </c>
      <c r="C456" s="49" t="s">
        <v>73</v>
      </c>
    </row>
    <row r="457" spans="1:3" x14ac:dyDescent="0.25">
      <c r="A457" s="49" t="s">
        <v>527</v>
      </c>
      <c r="B457" s="53" t="s">
        <v>78</v>
      </c>
      <c r="C457" s="49" t="s">
        <v>73</v>
      </c>
    </row>
    <row r="458" spans="1:3" x14ac:dyDescent="0.25">
      <c r="A458" s="49" t="s">
        <v>528</v>
      </c>
      <c r="B458" s="53" t="s">
        <v>78</v>
      </c>
      <c r="C458" s="49" t="s">
        <v>73</v>
      </c>
    </row>
    <row r="459" spans="1:3" x14ac:dyDescent="0.25">
      <c r="A459" s="49" t="s">
        <v>529</v>
      </c>
      <c r="B459" s="53" t="s">
        <v>78</v>
      </c>
      <c r="C459" s="49" t="s">
        <v>73</v>
      </c>
    </row>
    <row r="460" spans="1:3" x14ac:dyDescent="0.25">
      <c r="A460" s="49" t="s">
        <v>530</v>
      </c>
      <c r="B460" s="53" t="s">
        <v>78</v>
      </c>
      <c r="C460" s="49" t="s">
        <v>73</v>
      </c>
    </row>
    <row r="461" spans="1:3" x14ac:dyDescent="0.25">
      <c r="A461" s="49" t="s">
        <v>531</v>
      </c>
      <c r="B461" s="53" t="s">
        <v>78</v>
      </c>
      <c r="C461" s="49" t="s">
        <v>73</v>
      </c>
    </row>
    <row r="462" spans="1:3" x14ac:dyDescent="0.25">
      <c r="A462" s="49" t="s">
        <v>532</v>
      </c>
      <c r="B462" s="53" t="s">
        <v>78</v>
      </c>
      <c r="C462" s="49" t="s">
        <v>73</v>
      </c>
    </row>
    <row r="463" spans="1:3" x14ac:dyDescent="0.25">
      <c r="A463" s="49" t="s">
        <v>533</v>
      </c>
      <c r="B463" s="53" t="s">
        <v>78</v>
      </c>
      <c r="C463" s="49" t="s">
        <v>73</v>
      </c>
    </row>
    <row r="464" spans="1:3" x14ac:dyDescent="0.25">
      <c r="A464" s="49" t="s">
        <v>534</v>
      </c>
      <c r="B464" s="53" t="s">
        <v>78</v>
      </c>
      <c r="C464" s="49" t="s">
        <v>73</v>
      </c>
    </row>
    <row r="465" spans="1:3" x14ac:dyDescent="0.25">
      <c r="A465" s="49" t="s">
        <v>535</v>
      </c>
      <c r="B465" s="53" t="s">
        <v>78</v>
      </c>
      <c r="C465" s="49" t="s">
        <v>73</v>
      </c>
    </row>
    <row r="466" spans="1:3" x14ac:dyDescent="0.25">
      <c r="A466" s="49" t="s">
        <v>536</v>
      </c>
      <c r="B466" s="53" t="s">
        <v>78</v>
      </c>
      <c r="C466" s="49" t="s">
        <v>73</v>
      </c>
    </row>
    <row r="467" spans="1:3" x14ac:dyDescent="0.25">
      <c r="A467" s="49" t="s">
        <v>537</v>
      </c>
      <c r="B467" s="53" t="s">
        <v>78</v>
      </c>
      <c r="C467" s="49" t="s">
        <v>73</v>
      </c>
    </row>
    <row r="468" spans="1:3" x14ac:dyDescent="0.25">
      <c r="A468" s="49" t="s">
        <v>538</v>
      </c>
      <c r="B468" s="53" t="s">
        <v>78</v>
      </c>
      <c r="C468" s="49" t="s">
        <v>73</v>
      </c>
    </row>
    <row r="469" spans="1:3" x14ac:dyDescent="0.25">
      <c r="A469" s="49" t="s">
        <v>539</v>
      </c>
      <c r="B469" s="53" t="s">
        <v>78</v>
      </c>
      <c r="C469" s="49" t="s">
        <v>73</v>
      </c>
    </row>
    <row r="470" spans="1:3" x14ac:dyDescent="0.25">
      <c r="A470" s="49" t="s">
        <v>540</v>
      </c>
      <c r="B470" s="53" t="s">
        <v>78</v>
      </c>
      <c r="C470" s="49" t="s">
        <v>73</v>
      </c>
    </row>
    <row r="471" spans="1:3" x14ac:dyDescent="0.25">
      <c r="A471" s="49" t="s">
        <v>541</v>
      </c>
      <c r="B471" s="53" t="s">
        <v>78</v>
      </c>
      <c r="C471" s="49" t="s">
        <v>73</v>
      </c>
    </row>
    <row r="472" spans="1:3" x14ac:dyDescent="0.25">
      <c r="A472" s="49" t="s">
        <v>542</v>
      </c>
      <c r="B472" s="53" t="s">
        <v>78</v>
      </c>
      <c r="C472" s="49" t="s">
        <v>73</v>
      </c>
    </row>
    <row r="473" spans="1:3" x14ac:dyDescent="0.25">
      <c r="A473" s="49" t="s">
        <v>543</v>
      </c>
      <c r="B473" s="53" t="s">
        <v>78</v>
      </c>
      <c r="C473" s="49" t="s">
        <v>73</v>
      </c>
    </row>
    <row r="474" spans="1:3" x14ac:dyDescent="0.25">
      <c r="A474" s="49" t="s">
        <v>544</v>
      </c>
      <c r="B474" s="53" t="s">
        <v>78</v>
      </c>
      <c r="C474" s="49" t="s">
        <v>73</v>
      </c>
    </row>
    <row r="475" spans="1:3" x14ac:dyDescent="0.25">
      <c r="A475" s="49" t="s">
        <v>545</v>
      </c>
      <c r="B475" s="53" t="s">
        <v>78</v>
      </c>
      <c r="C475" s="49" t="s">
        <v>73</v>
      </c>
    </row>
    <row r="476" spans="1:3" x14ac:dyDescent="0.25">
      <c r="A476" s="49" t="s">
        <v>546</v>
      </c>
      <c r="B476" s="53" t="s">
        <v>78</v>
      </c>
      <c r="C476" s="49" t="s">
        <v>73</v>
      </c>
    </row>
    <row r="477" spans="1:3" x14ac:dyDescent="0.25">
      <c r="A477" s="49" t="s">
        <v>547</v>
      </c>
      <c r="B477" s="53" t="s">
        <v>78</v>
      </c>
      <c r="C477" s="49" t="s">
        <v>73</v>
      </c>
    </row>
    <row r="478" spans="1:3" x14ac:dyDescent="0.25">
      <c r="A478" s="49" t="s">
        <v>548</v>
      </c>
      <c r="B478" s="53" t="s">
        <v>78</v>
      </c>
      <c r="C478" s="49" t="s">
        <v>73</v>
      </c>
    </row>
    <row r="479" spans="1:3" x14ac:dyDescent="0.25">
      <c r="A479" s="49" t="s">
        <v>549</v>
      </c>
      <c r="B479" s="53" t="s">
        <v>78</v>
      </c>
      <c r="C479" s="49" t="s">
        <v>73</v>
      </c>
    </row>
    <row r="480" spans="1:3" x14ac:dyDescent="0.25">
      <c r="A480" s="49" t="s">
        <v>550</v>
      </c>
      <c r="B480" s="53" t="s">
        <v>78</v>
      </c>
      <c r="C480" s="49" t="s">
        <v>73</v>
      </c>
    </row>
    <row r="481" spans="1:3" x14ac:dyDescent="0.25">
      <c r="A481" s="49" t="s">
        <v>551</v>
      </c>
      <c r="B481" s="53" t="s">
        <v>78</v>
      </c>
      <c r="C481" s="49" t="s">
        <v>73</v>
      </c>
    </row>
    <row r="482" spans="1:3" x14ac:dyDescent="0.25">
      <c r="A482" s="49" t="s">
        <v>552</v>
      </c>
      <c r="B482" s="53" t="s">
        <v>78</v>
      </c>
      <c r="C482" s="49" t="s">
        <v>73</v>
      </c>
    </row>
    <row r="483" spans="1:3" x14ac:dyDescent="0.25">
      <c r="A483" s="49" t="s">
        <v>553</v>
      </c>
      <c r="B483" s="53" t="s">
        <v>78</v>
      </c>
      <c r="C483" s="49" t="s">
        <v>73</v>
      </c>
    </row>
    <row r="484" spans="1:3" x14ac:dyDescent="0.25">
      <c r="A484" s="49" t="s">
        <v>554</v>
      </c>
      <c r="B484" s="53" t="s">
        <v>78</v>
      </c>
      <c r="C484" s="49" t="s">
        <v>73</v>
      </c>
    </row>
    <row r="485" spans="1:3" x14ac:dyDescent="0.25">
      <c r="A485" s="49" t="s">
        <v>555</v>
      </c>
      <c r="B485" s="53" t="s">
        <v>78</v>
      </c>
      <c r="C485" s="49" t="s">
        <v>73</v>
      </c>
    </row>
    <row r="486" spans="1:3" x14ac:dyDescent="0.25">
      <c r="A486" s="49" t="s">
        <v>556</v>
      </c>
      <c r="B486" s="53" t="s">
        <v>78</v>
      </c>
      <c r="C486" s="49" t="s">
        <v>73</v>
      </c>
    </row>
    <row r="487" spans="1:3" x14ac:dyDescent="0.25">
      <c r="A487" s="49" t="s">
        <v>557</v>
      </c>
      <c r="B487" s="53" t="s">
        <v>78</v>
      </c>
      <c r="C487" s="49" t="s">
        <v>73</v>
      </c>
    </row>
    <row r="488" spans="1:3" x14ac:dyDescent="0.25">
      <c r="A488" s="49" t="s">
        <v>558</v>
      </c>
      <c r="B488" s="53" t="s">
        <v>78</v>
      </c>
      <c r="C488" s="49" t="s">
        <v>73</v>
      </c>
    </row>
    <row r="489" spans="1:3" x14ac:dyDescent="0.25">
      <c r="A489" s="49" t="s">
        <v>559</v>
      </c>
      <c r="B489" s="53" t="s">
        <v>78</v>
      </c>
      <c r="C489" s="49" t="s">
        <v>73</v>
      </c>
    </row>
    <row r="490" spans="1:3" x14ac:dyDescent="0.25">
      <c r="A490" s="49" t="s">
        <v>560</v>
      </c>
      <c r="B490" s="53" t="s">
        <v>78</v>
      </c>
      <c r="C490" s="49" t="s">
        <v>73</v>
      </c>
    </row>
    <row r="491" spans="1:3" x14ac:dyDescent="0.25">
      <c r="A491" s="49" t="s">
        <v>561</v>
      </c>
      <c r="B491" s="53" t="s">
        <v>78</v>
      </c>
      <c r="C491" s="49" t="s">
        <v>73</v>
      </c>
    </row>
    <row r="492" spans="1:3" x14ac:dyDescent="0.25">
      <c r="A492" s="49" t="s">
        <v>562</v>
      </c>
      <c r="B492" s="53" t="s">
        <v>78</v>
      </c>
      <c r="C492" s="49" t="s">
        <v>73</v>
      </c>
    </row>
    <row r="493" spans="1:3" x14ac:dyDescent="0.25">
      <c r="A493" s="49" t="s">
        <v>563</v>
      </c>
      <c r="B493" s="53" t="s">
        <v>78</v>
      </c>
      <c r="C493" s="49" t="s">
        <v>73</v>
      </c>
    </row>
    <row r="494" spans="1:3" x14ac:dyDescent="0.25">
      <c r="A494" s="49" t="s">
        <v>564</v>
      </c>
      <c r="B494" s="53" t="s">
        <v>78</v>
      </c>
      <c r="C494" s="49" t="s">
        <v>73</v>
      </c>
    </row>
    <row r="495" spans="1:3" x14ac:dyDescent="0.25">
      <c r="A495" s="49" t="s">
        <v>565</v>
      </c>
      <c r="B495" s="53" t="s">
        <v>78</v>
      </c>
      <c r="C495" s="49" t="s">
        <v>73</v>
      </c>
    </row>
    <row r="496" spans="1:3" x14ac:dyDescent="0.25">
      <c r="A496" s="49" t="s">
        <v>566</v>
      </c>
      <c r="B496" s="53" t="s">
        <v>78</v>
      </c>
      <c r="C496" s="49" t="s">
        <v>73</v>
      </c>
    </row>
    <row r="497" spans="1:3" x14ac:dyDescent="0.25">
      <c r="A497" s="49" t="s">
        <v>567</v>
      </c>
      <c r="B497" s="53" t="s">
        <v>78</v>
      </c>
      <c r="C497" s="49" t="s">
        <v>73</v>
      </c>
    </row>
    <row r="498" spans="1:3" x14ac:dyDescent="0.25">
      <c r="A498" s="49" t="s">
        <v>568</v>
      </c>
      <c r="B498" s="53" t="s">
        <v>78</v>
      </c>
      <c r="C498" s="49" t="s">
        <v>73</v>
      </c>
    </row>
    <row r="499" spans="1:3" x14ac:dyDescent="0.25">
      <c r="A499" s="49" t="s">
        <v>569</v>
      </c>
      <c r="B499" s="53" t="s">
        <v>78</v>
      </c>
      <c r="C499" s="49" t="s">
        <v>73</v>
      </c>
    </row>
    <row r="500" spans="1:3" x14ac:dyDescent="0.25">
      <c r="A500" s="49" t="s">
        <v>570</v>
      </c>
      <c r="B500" s="53" t="s">
        <v>78</v>
      </c>
      <c r="C500" s="49" t="s">
        <v>73</v>
      </c>
    </row>
    <row r="501" spans="1:3" x14ac:dyDescent="0.25">
      <c r="A501" s="49" t="s">
        <v>571</v>
      </c>
      <c r="B501" s="53" t="s">
        <v>78</v>
      </c>
      <c r="C501" s="49" t="s">
        <v>73</v>
      </c>
    </row>
    <row r="502" spans="1:3" x14ac:dyDescent="0.25">
      <c r="A502" s="49" t="s">
        <v>572</v>
      </c>
      <c r="B502" s="53" t="s">
        <v>78</v>
      </c>
      <c r="C502" s="49" t="s">
        <v>73</v>
      </c>
    </row>
    <row r="503" spans="1:3" x14ac:dyDescent="0.25">
      <c r="A503" s="49" t="s">
        <v>573</v>
      </c>
      <c r="B503" s="53" t="s">
        <v>78</v>
      </c>
      <c r="C503" s="49" t="s">
        <v>73</v>
      </c>
    </row>
    <row r="504" spans="1:3" x14ac:dyDescent="0.25">
      <c r="A504" s="49" t="s">
        <v>574</v>
      </c>
      <c r="B504" s="53" t="s">
        <v>78</v>
      </c>
      <c r="C504" s="49" t="s">
        <v>73</v>
      </c>
    </row>
    <row r="505" spans="1:3" x14ac:dyDescent="0.25">
      <c r="A505" s="49" t="s">
        <v>575</v>
      </c>
      <c r="B505" s="53" t="s">
        <v>78</v>
      </c>
      <c r="C505" s="49" t="s">
        <v>73</v>
      </c>
    </row>
    <row r="506" spans="1:3" x14ac:dyDescent="0.25">
      <c r="A506" s="49" t="s">
        <v>576</v>
      </c>
      <c r="B506" s="53" t="s">
        <v>78</v>
      </c>
      <c r="C506" s="49" t="s">
        <v>73</v>
      </c>
    </row>
    <row r="507" spans="1:3" x14ac:dyDescent="0.25">
      <c r="A507" s="49" t="s">
        <v>577</v>
      </c>
      <c r="B507" s="53" t="s">
        <v>78</v>
      </c>
      <c r="C507" s="49" t="s">
        <v>73</v>
      </c>
    </row>
    <row r="508" spans="1:3" x14ac:dyDescent="0.25">
      <c r="A508" s="49" t="s">
        <v>578</v>
      </c>
      <c r="B508" s="53" t="s">
        <v>78</v>
      </c>
      <c r="C508" s="49" t="s">
        <v>73</v>
      </c>
    </row>
    <row r="509" spans="1:3" x14ac:dyDescent="0.25">
      <c r="A509" s="49" t="s">
        <v>579</v>
      </c>
      <c r="B509" s="53" t="s">
        <v>78</v>
      </c>
      <c r="C509" s="49" t="s">
        <v>73</v>
      </c>
    </row>
    <row r="510" spans="1:3" x14ac:dyDescent="0.25">
      <c r="A510" s="49" t="s">
        <v>580</v>
      </c>
      <c r="B510" s="53" t="s">
        <v>78</v>
      </c>
      <c r="C510" s="49" t="s">
        <v>73</v>
      </c>
    </row>
    <row r="511" spans="1:3" x14ac:dyDescent="0.25">
      <c r="A511" s="49" t="s">
        <v>581</v>
      </c>
      <c r="B511" s="53" t="s">
        <v>78</v>
      </c>
      <c r="C511" s="49" t="s">
        <v>73</v>
      </c>
    </row>
    <row r="512" spans="1:3" x14ac:dyDescent="0.25">
      <c r="A512" s="49" t="s">
        <v>582</v>
      </c>
      <c r="B512" s="53" t="s">
        <v>78</v>
      </c>
      <c r="C512" s="49" t="s">
        <v>73</v>
      </c>
    </row>
    <row r="513" spans="1:3" x14ac:dyDescent="0.25">
      <c r="A513" s="49" t="s">
        <v>583</v>
      </c>
      <c r="B513" s="53" t="s">
        <v>78</v>
      </c>
      <c r="C513" s="49" t="s">
        <v>73</v>
      </c>
    </row>
    <row r="514" spans="1:3" x14ac:dyDescent="0.25">
      <c r="A514" s="49" t="s">
        <v>584</v>
      </c>
      <c r="B514" s="53" t="s">
        <v>78</v>
      </c>
      <c r="C514" s="49" t="s">
        <v>73</v>
      </c>
    </row>
    <row r="515" spans="1:3" x14ac:dyDescent="0.25">
      <c r="A515" s="49" t="s">
        <v>585</v>
      </c>
      <c r="B515" s="53" t="s">
        <v>78</v>
      </c>
      <c r="C515" s="49" t="s">
        <v>73</v>
      </c>
    </row>
    <row r="516" spans="1:3" x14ac:dyDescent="0.25">
      <c r="A516" s="49" t="s">
        <v>586</v>
      </c>
      <c r="B516" s="53" t="s">
        <v>78</v>
      </c>
      <c r="C516" s="49" t="s">
        <v>73</v>
      </c>
    </row>
    <row r="517" spans="1:3" x14ac:dyDescent="0.25">
      <c r="A517" s="49" t="s">
        <v>587</v>
      </c>
      <c r="B517" s="53" t="s">
        <v>78</v>
      </c>
      <c r="C517" s="49" t="s">
        <v>73</v>
      </c>
    </row>
    <row r="518" spans="1:3" x14ac:dyDescent="0.25">
      <c r="A518" s="49" t="s">
        <v>588</v>
      </c>
      <c r="B518" s="53" t="s">
        <v>78</v>
      </c>
      <c r="C518" s="49" t="s">
        <v>73</v>
      </c>
    </row>
    <row r="519" spans="1:3" x14ac:dyDescent="0.25">
      <c r="A519" s="49" t="s">
        <v>589</v>
      </c>
      <c r="B519" s="53" t="s">
        <v>78</v>
      </c>
      <c r="C519" s="49" t="s">
        <v>73</v>
      </c>
    </row>
    <row r="520" spans="1:3" x14ac:dyDescent="0.25">
      <c r="A520" s="49" t="s">
        <v>590</v>
      </c>
      <c r="B520" s="53" t="s">
        <v>78</v>
      </c>
      <c r="C520" s="49" t="s">
        <v>73</v>
      </c>
    </row>
    <row r="521" spans="1:3" x14ac:dyDescent="0.25">
      <c r="A521" s="49" t="s">
        <v>591</v>
      </c>
      <c r="B521" s="53" t="s">
        <v>78</v>
      </c>
      <c r="C521" s="49" t="s">
        <v>73</v>
      </c>
    </row>
    <row r="522" spans="1:3" x14ac:dyDescent="0.25">
      <c r="A522" s="49" t="s">
        <v>592</v>
      </c>
      <c r="B522" s="53" t="s">
        <v>78</v>
      </c>
      <c r="C522" s="49" t="s">
        <v>73</v>
      </c>
    </row>
    <row r="523" spans="1:3" x14ac:dyDescent="0.25">
      <c r="A523" s="49" t="s">
        <v>593</v>
      </c>
      <c r="B523" s="53" t="s">
        <v>78</v>
      </c>
      <c r="C523" s="49" t="s">
        <v>73</v>
      </c>
    </row>
    <row r="524" spans="1:3" x14ac:dyDescent="0.25">
      <c r="A524" s="49" t="s">
        <v>594</v>
      </c>
      <c r="B524" s="53" t="s">
        <v>78</v>
      </c>
      <c r="C524" s="49" t="s">
        <v>73</v>
      </c>
    </row>
    <row r="525" spans="1:3" x14ac:dyDescent="0.25">
      <c r="A525" s="49" t="s">
        <v>595</v>
      </c>
      <c r="B525" s="53" t="s">
        <v>78</v>
      </c>
      <c r="C525" s="49" t="s">
        <v>73</v>
      </c>
    </row>
    <row r="526" spans="1:3" x14ac:dyDescent="0.25">
      <c r="A526" s="49" t="s">
        <v>596</v>
      </c>
      <c r="B526" s="53" t="s">
        <v>78</v>
      </c>
      <c r="C526" s="49" t="s">
        <v>73</v>
      </c>
    </row>
    <row r="527" spans="1:3" x14ac:dyDescent="0.25">
      <c r="A527" s="49" t="s">
        <v>597</v>
      </c>
      <c r="B527" s="53" t="s">
        <v>78</v>
      </c>
      <c r="C527" s="49" t="s">
        <v>73</v>
      </c>
    </row>
    <row r="528" spans="1:3" x14ac:dyDescent="0.25">
      <c r="A528" s="49" t="s">
        <v>598</v>
      </c>
      <c r="B528" s="53" t="s">
        <v>78</v>
      </c>
      <c r="C528" s="49" t="s">
        <v>73</v>
      </c>
    </row>
    <row r="529" spans="1:3" x14ac:dyDescent="0.25">
      <c r="A529" s="49" t="s">
        <v>599</v>
      </c>
      <c r="B529" s="53" t="s">
        <v>78</v>
      </c>
      <c r="C529" s="49" t="s">
        <v>73</v>
      </c>
    </row>
    <row r="530" spans="1:3" x14ac:dyDescent="0.25">
      <c r="A530" s="49" t="s">
        <v>600</v>
      </c>
      <c r="B530" s="53" t="s">
        <v>78</v>
      </c>
      <c r="C530" s="49" t="s">
        <v>73</v>
      </c>
    </row>
    <row r="531" spans="1:3" x14ac:dyDescent="0.25">
      <c r="A531" s="49" t="s">
        <v>601</v>
      </c>
      <c r="B531" s="53" t="s">
        <v>78</v>
      </c>
      <c r="C531" s="49" t="s">
        <v>73</v>
      </c>
    </row>
    <row r="532" spans="1:3" x14ac:dyDescent="0.25">
      <c r="A532" s="49" t="s">
        <v>602</v>
      </c>
      <c r="B532" s="53" t="s">
        <v>78</v>
      </c>
      <c r="C532" s="49" t="s">
        <v>73</v>
      </c>
    </row>
    <row r="533" spans="1:3" x14ac:dyDescent="0.25">
      <c r="A533" s="49" t="s">
        <v>603</v>
      </c>
      <c r="B533" s="53" t="s">
        <v>78</v>
      </c>
      <c r="C533" s="49" t="s">
        <v>73</v>
      </c>
    </row>
    <row r="534" spans="1:3" x14ac:dyDescent="0.25">
      <c r="A534" s="49" t="s">
        <v>604</v>
      </c>
      <c r="B534" s="53" t="s">
        <v>78</v>
      </c>
      <c r="C534" s="49" t="s">
        <v>73</v>
      </c>
    </row>
    <row r="535" spans="1:3" x14ac:dyDescent="0.25">
      <c r="A535" s="49" t="s">
        <v>605</v>
      </c>
      <c r="B535" s="53" t="s">
        <v>78</v>
      </c>
      <c r="C535" s="49" t="s">
        <v>73</v>
      </c>
    </row>
    <row r="536" spans="1:3" x14ac:dyDescent="0.25">
      <c r="A536" s="49" t="s">
        <v>606</v>
      </c>
      <c r="B536" s="53" t="s">
        <v>78</v>
      </c>
      <c r="C536" s="49" t="s">
        <v>73</v>
      </c>
    </row>
    <row r="537" spans="1:3" x14ac:dyDescent="0.25">
      <c r="A537" s="49" t="s">
        <v>607</v>
      </c>
      <c r="B537" s="53" t="s">
        <v>78</v>
      </c>
      <c r="C537" s="49" t="s">
        <v>73</v>
      </c>
    </row>
    <row r="538" spans="1:3" x14ac:dyDescent="0.25">
      <c r="A538" s="49" t="s">
        <v>608</v>
      </c>
      <c r="B538" s="53" t="s">
        <v>78</v>
      </c>
      <c r="C538" s="49" t="s">
        <v>73</v>
      </c>
    </row>
    <row r="539" spans="1:3" x14ac:dyDescent="0.25">
      <c r="A539" s="49" t="s">
        <v>609</v>
      </c>
      <c r="B539" s="53" t="s">
        <v>78</v>
      </c>
      <c r="C539" s="49" t="s">
        <v>73</v>
      </c>
    </row>
    <row r="540" spans="1:3" x14ac:dyDescent="0.25">
      <c r="A540" s="49" t="s">
        <v>610</v>
      </c>
      <c r="B540" s="53" t="s">
        <v>78</v>
      </c>
      <c r="C540" s="49" t="s">
        <v>73</v>
      </c>
    </row>
    <row r="541" spans="1:3" x14ac:dyDescent="0.25">
      <c r="A541" s="49" t="s">
        <v>611</v>
      </c>
      <c r="B541" s="53" t="s">
        <v>78</v>
      </c>
      <c r="C541" s="49" t="s">
        <v>73</v>
      </c>
    </row>
    <row r="542" spans="1:3" x14ac:dyDescent="0.25">
      <c r="A542" s="49" t="s">
        <v>612</v>
      </c>
      <c r="B542" s="53" t="s">
        <v>78</v>
      </c>
      <c r="C542" s="49" t="s">
        <v>73</v>
      </c>
    </row>
    <row r="543" spans="1:3" x14ac:dyDescent="0.25">
      <c r="A543" s="49" t="s">
        <v>613</v>
      </c>
      <c r="B543" s="53" t="s">
        <v>78</v>
      </c>
      <c r="C543" s="49" t="s">
        <v>73</v>
      </c>
    </row>
    <row r="544" spans="1:3" x14ac:dyDescent="0.25">
      <c r="A544" s="49" t="s">
        <v>614</v>
      </c>
      <c r="B544" s="53" t="s">
        <v>78</v>
      </c>
      <c r="C544" s="49" t="s">
        <v>73</v>
      </c>
    </row>
    <row r="545" spans="1:3" x14ac:dyDescent="0.25">
      <c r="A545" s="49" t="s">
        <v>615</v>
      </c>
      <c r="B545" s="53" t="s">
        <v>78</v>
      </c>
      <c r="C545" s="49" t="s">
        <v>73</v>
      </c>
    </row>
    <row r="546" spans="1:3" x14ac:dyDescent="0.25">
      <c r="A546" s="49" t="s">
        <v>616</v>
      </c>
      <c r="B546" s="53" t="s">
        <v>78</v>
      </c>
      <c r="C546" s="49" t="s">
        <v>73</v>
      </c>
    </row>
    <row r="547" spans="1:3" x14ac:dyDescent="0.25">
      <c r="A547" s="49" t="s">
        <v>617</v>
      </c>
      <c r="B547" s="53" t="s">
        <v>78</v>
      </c>
      <c r="C547" s="49" t="s">
        <v>73</v>
      </c>
    </row>
    <row r="548" spans="1:3" x14ac:dyDescent="0.25">
      <c r="A548" s="49" t="s">
        <v>618</v>
      </c>
      <c r="B548" s="53" t="s">
        <v>78</v>
      </c>
      <c r="C548" s="49" t="s">
        <v>73</v>
      </c>
    </row>
    <row r="549" spans="1:3" x14ac:dyDescent="0.25">
      <c r="A549" s="49" t="s">
        <v>619</v>
      </c>
      <c r="B549" s="53" t="s">
        <v>78</v>
      </c>
      <c r="C549" s="49" t="s">
        <v>73</v>
      </c>
    </row>
    <row r="550" spans="1:3" x14ac:dyDescent="0.25">
      <c r="A550" s="49" t="s">
        <v>620</v>
      </c>
      <c r="B550" s="53" t="s">
        <v>78</v>
      </c>
      <c r="C550" s="49" t="s">
        <v>73</v>
      </c>
    </row>
    <row r="551" spans="1:3" x14ac:dyDescent="0.25">
      <c r="A551" s="49" t="s">
        <v>621</v>
      </c>
      <c r="B551" s="53" t="s">
        <v>78</v>
      </c>
      <c r="C551" s="49" t="s">
        <v>73</v>
      </c>
    </row>
    <row r="552" spans="1:3" x14ac:dyDescent="0.25">
      <c r="A552" s="49" t="s">
        <v>622</v>
      </c>
      <c r="B552" s="53" t="s">
        <v>78</v>
      </c>
      <c r="C552" s="49" t="s">
        <v>73</v>
      </c>
    </row>
    <row r="553" spans="1:3" x14ac:dyDescent="0.25">
      <c r="A553" s="49" t="s">
        <v>623</v>
      </c>
      <c r="B553" s="53" t="s">
        <v>78</v>
      </c>
      <c r="C553" s="49" t="s">
        <v>73</v>
      </c>
    </row>
    <row r="554" spans="1:3" x14ac:dyDescent="0.25">
      <c r="A554" s="49" t="s">
        <v>624</v>
      </c>
      <c r="B554" s="53" t="s">
        <v>78</v>
      </c>
      <c r="C554" s="49" t="s">
        <v>73</v>
      </c>
    </row>
    <row r="555" spans="1:3" x14ac:dyDescent="0.25">
      <c r="A555" s="49" t="s">
        <v>625</v>
      </c>
      <c r="B555" s="53" t="s">
        <v>78</v>
      </c>
      <c r="C555" s="49" t="s">
        <v>73</v>
      </c>
    </row>
    <row r="556" spans="1:3" x14ac:dyDescent="0.25">
      <c r="A556" s="49" t="s">
        <v>626</v>
      </c>
      <c r="B556" s="53" t="s">
        <v>78</v>
      </c>
      <c r="C556" s="49" t="s">
        <v>73</v>
      </c>
    </row>
    <row r="557" spans="1:3" x14ac:dyDescent="0.25">
      <c r="A557" s="49" t="s">
        <v>627</v>
      </c>
      <c r="B557" s="53" t="s">
        <v>78</v>
      </c>
      <c r="C557" s="49" t="s">
        <v>73</v>
      </c>
    </row>
    <row r="558" spans="1:3" x14ac:dyDescent="0.25">
      <c r="A558" s="49" t="s">
        <v>628</v>
      </c>
      <c r="B558" s="53" t="s">
        <v>78</v>
      </c>
      <c r="C558" s="49" t="s">
        <v>73</v>
      </c>
    </row>
    <row r="559" spans="1:3" x14ac:dyDescent="0.25">
      <c r="A559" s="49" t="s">
        <v>629</v>
      </c>
      <c r="B559" s="53" t="s">
        <v>78</v>
      </c>
      <c r="C559" s="49" t="s">
        <v>73</v>
      </c>
    </row>
    <row r="560" spans="1:3" x14ac:dyDescent="0.25">
      <c r="A560" s="49" t="s">
        <v>630</v>
      </c>
      <c r="B560" s="53" t="s">
        <v>78</v>
      </c>
      <c r="C560" s="49" t="s">
        <v>73</v>
      </c>
    </row>
    <row r="561" spans="1:3" x14ac:dyDescent="0.25">
      <c r="A561" s="49" t="s">
        <v>631</v>
      </c>
      <c r="B561" s="53" t="s">
        <v>78</v>
      </c>
      <c r="C561" s="49" t="s">
        <v>73</v>
      </c>
    </row>
    <row r="562" spans="1:3" x14ac:dyDescent="0.25">
      <c r="A562" s="49" t="s">
        <v>632</v>
      </c>
      <c r="B562" s="53" t="s">
        <v>78</v>
      </c>
      <c r="C562" s="49" t="s">
        <v>73</v>
      </c>
    </row>
    <row r="563" spans="1:3" x14ac:dyDescent="0.25">
      <c r="A563" s="49" t="s">
        <v>633</v>
      </c>
      <c r="B563" s="53" t="s">
        <v>78</v>
      </c>
      <c r="C563" s="49" t="s">
        <v>73</v>
      </c>
    </row>
    <row r="564" spans="1:3" x14ac:dyDescent="0.25">
      <c r="A564" s="49" t="s">
        <v>634</v>
      </c>
      <c r="B564" s="53" t="s">
        <v>78</v>
      </c>
      <c r="C564" s="49" t="s">
        <v>73</v>
      </c>
    </row>
    <row r="565" spans="1:3" x14ac:dyDescent="0.25">
      <c r="A565" s="49" t="s">
        <v>635</v>
      </c>
      <c r="B565" s="53" t="s">
        <v>78</v>
      </c>
      <c r="C565" s="49" t="s">
        <v>73</v>
      </c>
    </row>
    <row r="566" spans="1:3" x14ac:dyDescent="0.25">
      <c r="A566" s="49" t="s">
        <v>636</v>
      </c>
      <c r="B566" s="53" t="s">
        <v>78</v>
      </c>
      <c r="C566" s="49" t="s">
        <v>73</v>
      </c>
    </row>
    <row r="567" spans="1:3" x14ac:dyDescent="0.25">
      <c r="A567" s="49" t="s">
        <v>637</v>
      </c>
      <c r="B567" s="53" t="s">
        <v>78</v>
      </c>
      <c r="C567" s="49" t="s">
        <v>73</v>
      </c>
    </row>
    <row r="568" spans="1:3" x14ac:dyDescent="0.25">
      <c r="A568" s="49" t="s">
        <v>638</v>
      </c>
      <c r="B568" s="53" t="s">
        <v>78</v>
      </c>
      <c r="C568" s="49" t="s">
        <v>73</v>
      </c>
    </row>
    <row r="569" spans="1:3" x14ac:dyDescent="0.25">
      <c r="A569" s="49" t="s">
        <v>639</v>
      </c>
      <c r="B569" s="53" t="s">
        <v>78</v>
      </c>
      <c r="C569" s="49" t="s">
        <v>73</v>
      </c>
    </row>
    <row r="570" spans="1:3" x14ac:dyDescent="0.25">
      <c r="A570" s="49" t="s">
        <v>640</v>
      </c>
      <c r="B570" s="53" t="s">
        <v>78</v>
      </c>
      <c r="C570" s="49" t="s">
        <v>73</v>
      </c>
    </row>
    <row r="571" spans="1:3" x14ac:dyDescent="0.25">
      <c r="A571" s="49" t="s">
        <v>641</v>
      </c>
      <c r="B571" s="53" t="s">
        <v>78</v>
      </c>
      <c r="C571" s="49" t="s">
        <v>73</v>
      </c>
    </row>
    <row r="572" spans="1:3" x14ac:dyDescent="0.25">
      <c r="A572" s="49" t="s">
        <v>642</v>
      </c>
      <c r="B572" s="53" t="s">
        <v>78</v>
      </c>
      <c r="C572" s="49" t="s">
        <v>73</v>
      </c>
    </row>
    <row r="573" spans="1:3" x14ac:dyDescent="0.25">
      <c r="A573" s="49" t="s">
        <v>643</v>
      </c>
      <c r="B573" s="53" t="s">
        <v>78</v>
      </c>
      <c r="C573" s="49" t="s">
        <v>73</v>
      </c>
    </row>
    <row r="574" spans="1:3" x14ac:dyDescent="0.25">
      <c r="A574" s="49" t="s">
        <v>644</v>
      </c>
      <c r="B574" s="53" t="s">
        <v>78</v>
      </c>
      <c r="C574" s="49" t="s">
        <v>73</v>
      </c>
    </row>
    <row r="575" spans="1:3" x14ac:dyDescent="0.25">
      <c r="A575" s="49" t="s">
        <v>645</v>
      </c>
      <c r="B575" s="53" t="s">
        <v>78</v>
      </c>
      <c r="C575" s="49" t="s">
        <v>73</v>
      </c>
    </row>
    <row r="576" spans="1:3" x14ac:dyDescent="0.25">
      <c r="A576" s="49" t="s">
        <v>646</v>
      </c>
      <c r="B576" s="53" t="s">
        <v>78</v>
      </c>
      <c r="C576" s="49" t="s">
        <v>73</v>
      </c>
    </row>
    <row r="577" spans="1:3" x14ac:dyDescent="0.25">
      <c r="A577" s="49" t="s">
        <v>647</v>
      </c>
      <c r="B577" s="53" t="s">
        <v>78</v>
      </c>
      <c r="C577" s="49" t="s">
        <v>73</v>
      </c>
    </row>
    <row r="578" spans="1:3" x14ac:dyDescent="0.25">
      <c r="A578" s="93" t="s">
        <v>648</v>
      </c>
      <c r="B578" s="97" t="s">
        <v>78</v>
      </c>
      <c r="C578" s="49" t="s">
        <v>73</v>
      </c>
    </row>
    <row r="579" spans="1:3" x14ac:dyDescent="0.25">
      <c r="A579" s="98" t="s">
        <v>708</v>
      </c>
      <c r="B579" s="97" t="s">
        <v>78</v>
      </c>
      <c r="C579" s="49" t="s">
        <v>73</v>
      </c>
    </row>
    <row r="580" spans="1:3" x14ac:dyDescent="0.25">
      <c r="A580" s="98" t="s">
        <v>709</v>
      </c>
      <c r="B580" s="97" t="s">
        <v>78</v>
      </c>
      <c r="C580" s="49" t="s">
        <v>73</v>
      </c>
    </row>
    <row r="581" spans="1:3" x14ac:dyDescent="0.25">
      <c r="B581" s="53"/>
    </row>
    <row r="582" spans="1:3" x14ac:dyDescent="0.25">
      <c r="B582" s="53"/>
    </row>
    <row r="583" spans="1:3" x14ac:dyDescent="0.25">
      <c r="B583" s="53"/>
    </row>
    <row r="584" spans="1:3" x14ac:dyDescent="0.25">
      <c r="B584" s="53"/>
    </row>
    <row r="585" spans="1:3" x14ac:dyDescent="0.25">
      <c r="B585" s="53"/>
    </row>
    <row r="586" spans="1:3" x14ac:dyDescent="0.25">
      <c r="B586" s="53"/>
    </row>
    <row r="587" spans="1:3" x14ac:dyDescent="0.25">
      <c r="B587" s="53"/>
    </row>
    <row r="588" spans="1:3" x14ac:dyDescent="0.25">
      <c r="B588" s="53"/>
    </row>
    <row r="589" spans="1:3" x14ac:dyDescent="0.25">
      <c r="B589" s="53"/>
    </row>
    <row r="590" spans="1:3" x14ac:dyDescent="0.25">
      <c r="B590" s="53"/>
    </row>
    <row r="591" spans="1:3" x14ac:dyDescent="0.25">
      <c r="B591" s="53"/>
    </row>
    <row r="592" spans="1:3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/>
  </sheetViews>
  <sheetFormatPr defaultRowHeight="15" x14ac:dyDescent="0.25"/>
  <cols>
    <col min="1" max="1" width="12.28515625" style="49" bestFit="1" customWidth="1"/>
    <col min="2" max="2" width="16.5703125" style="49" customWidth="1"/>
    <col min="3" max="3" width="23.5703125" style="49" bestFit="1" customWidth="1"/>
    <col min="4" max="256" width="9.140625" style="49"/>
    <col min="257" max="257" width="12.5703125" style="49" customWidth="1"/>
    <col min="258" max="258" width="12.28515625" style="49" bestFit="1" customWidth="1"/>
    <col min="259" max="512" width="9.140625" style="49"/>
    <col min="513" max="513" width="12.5703125" style="49" customWidth="1"/>
    <col min="514" max="514" width="12.28515625" style="49" bestFit="1" customWidth="1"/>
    <col min="515" max="768" width="9.140625" style="49"/>
    <col min="769" max="769" width="12.5703125" style="49" customWidth="1"/>
    <col min="770" max="770" width="12.28515625" style="49" bestFit="1" customWidth="1"/>
    <col min="771" max="1024" width="9.140625" style="49"/>
    <col min="1025" max="1025" width="12.5703125" style="49" customWidth="1"/>
    <col min="1026" max="1026" width="12.28515625" style="49" bestFit="1" customWidth="1"/>
    <col min="1027" max="1280" width="9.140625" style="49"/>
    <col min="1281" max="1281" width="12.5703125" style="49" customWidth="1"/>
    <col min="1282" max="1282" width="12.28515625" style="49" bestFit="1" customWidth="1"/>
    <col min="1283" max="1536" width="9.140625" style="49"/>
    <col min="1537" max="1537" width="12.5703125" style="49" customWidth="1"/>
    <col min="1538" max="1538" width="12.28515625" style="49" bestFit="1" customWidth="1"/>
    <col min="1539" max="1792" width="9.140625" style="49"/>
    <col min="1793" max="1793" width="12.5703125" style="49" customWidth="1"/>
    <col min="1794" max="1794" width="12.28515625" style="49" bestFit="1" customWidth="1"/>
    <col min="1795" max="2048" width="9.140625" style="49"/>
    <col min="2049" max="2049" width="12.5703125" style="49" customWidth="1"/>
    <col min="2050" max="2050" width="12.28515625" style="49" bestFit="1" customWidth="1"/>
    <col min="2051" max="2304" width="9.140625" style="49"/>
    <col min="2305" max="2305" width="12.5703125" style="49" customWidth="1"/>
    <col min="2306" max="2306" width="12.28515625" style="49" bestFit="1" customWidth="1"/>
    <col min="2307" max="2560" width="9.140625" style="49"/>
    <col min="2561" max="2561" width="12.5703125" style="49" customWidth="1"/>
    <col min="2562" max="2562" width="12.28515625" style="49" bestFit="1" customWidth="1"/>
    <col min="2563" max="2816" width="9.140625" style="49"/>
    <col min="2817" max="2817" width="12.5703125" style="49" customWidth="1"/>
    <col min="2818" max="2818" width="12.28515625" style="49" bestFit="1" customWidth="1"/>
    <col min="2819" max="3072" width="9.140625" style="49"/>
    <col min="3073" max="3073" width="12.5703125" style="49" customWidth="1"/>
    <col min="3074" max="3074" width="12.28515625" style="49" bestFit="1" customWidth="1"/>
    <col min="3075" max="3328" width="9.140625" style="49"/>
    <col min="3329" max="3329" width="12.5703125" style="49" customWidth="1"/>
    <col min="3330" max="3330" width="12.28515625" style="49" bestFit="1" customWidth="1"/>
    <col min="3331" max="3584" width="9.140625" style="49"/>
    <col min="3585" max="3585" width="12.5703125" style="49" customWidth="1"/>
    <col min="3586" max="3586" width="12.28515625" style="49" bestFit="1" customWidth="1"/>
    <col min="3587" max="3840" width="9.140625" style="49"/>
    <col min="3841" max="3841" width="12.5703125" style="49" customWidth="1"/>
    <col min="3842" max="3842" width="12.28515625" style="49" bestFit="1" customWidth="1"/>
    <col min="3843" max="4096" width="9.140625" style="49"/>
    <col min="4097" max="4097" width="12.5703125" style="49" customWidth="1"/>
    <col min="4098" max="4098" width="12.28515625" style="49" bestFit="1" customWidth="1"/>
    <col min="4099" max="4352" width="9.140625" style="49"/>
    <col min="4353" max="4353" width="12.5703125" style="49" customWidth="1"/>
    <col min="4354" max="4354" width="12.28515625" style="49" bestFit="1" customWidth="1"/>
    <col min="4355" max="4608" width="9.140625" style="49"/>
    <col min="4609" max="4609" width="12.5703125" style="49" customWidth="1"/>
    <col min="4610" max="4610" width="12.28515625" style="49" bestFit="1" customWidth="1"/>
    <col min="4611" max="4864" width="9.140625" style="49"/>
    <col min="4865" max="4865" width="12.5703125" style="49" customWidth="1"/>
    <col min="4866" max="4866" width="12.28515625" style="49" bestFit="1" customWidth="1"/>
    <col min="4867" max="5120" width="9.140625" style="49"/>
    <col min="5121" max="5121" width="12.5703125" style="49" customWidth="1"/>
    <col min="5122" max="5122" width="12.28515625" style="49" bestFit="1" customWidth="1"/>
    <col min="5123" max="5376" width="9.140625" style="49"/>
    <col min="5377" max="5377" width="12.5703125" style="49" customWidth="1"/>
    <col min="5378" max="5378" width="12.28515625" style="49" bestFit="1" customWidth="1"/>
    <col min="5379" max="5632" width="9.140625" style="49"/>
    <col min="5633" max="5633" width="12.5703125" style="49" customWidth="1"/>
    <col min="5634" max="5634" width="12.28515625" style="49" bestFit="1" customWidth="1"/>
    <col min="5635" max="5888" width="9.140625" style="49"/>
    <col min="5889" max="5889" width="12.5703125" style="49" customWidth="1"/>
    <col min="5890" max="5890" width="12.28515625" style="49" bestFit="1" customWidth="1"/>
    <col min="5891" max="6144" width="9.140625" style="49"/>
    <col min="6145" max="6145" width="12.5703125" style="49" customWidth="1"/>
    <col min="6146" max="6146" width="12.28515625" style="49" bestFit="1" customWidth="1"/>
    <col min="6147" max="6400" width="9.140625" style="49"/>
    <col min="6401" max="6401" width="12.5703125" style="49" customWidth="1"/>
    <col min="6402" max="6402" width="12.28515625" style="49" bestFit="1" customWidth="1"/>
    <col min="6403" max="6656" width="9.140625" style="49"/>
    <col min="6657" max="6657" width="12.5703125" style="49" customWidth="1"/>
    <col min="6658" max="6658" width="12.28515625" style="49" bestFit="1" customWidth="1"/>
    <col min="6659" max="6912" width="9.140625" style="49"/>
    <col min="6913" max="6913" width="12.5703125" style="49" customWidth="1"/>
    <col min="6914" max="6914" width="12.28515625" style="49" bestFit="1" customWidth="1"/>
    <col min="6915" max="7168" width="9.140625" style="49"/>
    <col min="7169" max="7169" width="12.5703125" style="49" customWidth="1"/>
    <col min="7170" max="7170" width="12.28515625" style="49" bestFit="1" customWidth="1"/>
    <col min="7171" max="7424" width="9.140625" style="49"/>
    <col min="7425" max="7425" width="12.5703125" style="49" customWidth="1"/>
    <col min="7426" max="7426" width="12.28515625" style="49" bestFit="1" customWidth="1"/>
    <col min="7427" max="7680" width="9.140625" style="49"/>
    <col min="7681" max="7681" width="12.5703125" style="49" customWidth="1"/>
    <col min="7682" max="7682" width="12.28515625" style="49" bestFit="1" customWidth="1"/>
    <col min="7683" max="7936" width="9.140625" style="49"/>
    <col min="7937" max="7937" width="12.5703125" style="49" customWidth="1"/>
    <col min="7938" max="7938" width="12.28515625" style="49" bestFit="1" customWidth="1"/>
    <col min="7939" max="8192" width="9.140625" style="49"/>
    <col min="8193" max="8193" width="12.5703125" style="49" customWidth="1"/>
    <col min="8194" max="8194" width="12.28515625" style="49" bestFit="1" customWidth="1"/>
    <col min="8195" max="8448" width="9.140625" style="49"/>
    <col min="8449" max="8449" width="12.5703125" style="49" customWidth="1"/>
    <col min="8450" max="8450" width="12.28515625" style="49" bestFit="1" customWidth="1"/>
    <col min="8451" max="8704" width="9.140625" style="49"/>
    <col min="8705" max="8705" width="12.5703125" style="49" customWidth="1"/>
    <col min="8706" max="8706" width="12.28515625" style="49" bestFit="1" customWidth="1"/>
    <col min="8707" max="8960" width="9.140625" style="49"/>
    <col min="8961" max="8961" width="12.5703125" style="49" customWidth="1"/>
    <col min="8962" max="8962" width="12.28515625" style="49" bestFit="1" customWidth="1"/>
    <col min="8963" max="9216" width="9.140625" style="49"/>
    <col min="9217" max="9217" width="12.5703125" style="49" customWidth="1"/>
    <col min="9218" max="9218" width="12.28515625" style="49" bestFit="1" customWidth="1"/>
    <col min="9219" max="9472" width="9.140625" style="49"/>
    <col min="9473" max="9473" width="12.5703125" style="49" customWidth="1"/>
    <col min="9474" max="9474" width="12.28515625" style="49" bestFit="1" customWidth="1"/>
    <col min="9475" max="9728" width="9.140625" style="49"/>
    <col min="9729" max="9729" width="12.5703125" style="49" customWidth="1"/>
    <col min="9730" max="9730" width="12.28515625" style="49" bestFit="1" customWidth="1"/>
    <col min="9731" max="9984" width="9.140625" style="49"/>
    <col min="9985" max="9985" width="12.5703125" style="49" customWidth="1"/>
    <col min="9986" max="9986" width="12.28515625" style="49" bestFit="1" customWidth="1"/>
    <col min="9987" max="10240" width="9.140625" style="49"/>
    <col min="10241" max="10241" width="12.5703125" style="49" customWidth="1"/>
    <col min="10242" max="10242" width="12.28515625" style="49" bestFit="1" customWidth="1"/>
    <col min="10243" max="10496" width="9.140625" style="49"/>
    <col min="10497" max="10497" width="12.5703125" style="49" customWidth="1"/>
    <col min="10498" max="10498" width="12.28515625" style="49" bestFit="1" customWidth="1"/>
    <col min="10499" max="10752" width="9.140625" style="49"/>
    <col min="10753" max="10753" width="12.5703125" style="49" customWidth="1"/>
    <col min="10754" max="10754" width="12.28515625" style="49" bestFit="1" customWidth="1"/>
    <col min="10755" max="11008" width="9.140625" style="49"/>
    <col min="11009" max="11009" width="12.5703125" style="49" customWidth="1"/>
    <col min="11010" max="11010" width="12.28515625" style="49" bestFit="1" customWidth="1"/>
    <col min="11011" max="11264" width="9.140625" style="49"/>
    <col min="11265" max="11265" width="12.5703125" style="49" customWidth="1"/>
    <col min="11266" max="11266" width="12.28515625" style="49" bestFit="1" customWidth="1"/>
    <col min="11267" max="11520" width="9.140625" style="49"/>
    <col min="11521" max="11521" width="12.5703125" style="49" customWidth="1"/>
    <col min="11522" max="11522" width="12.28515625" style="49" bestFit="1" customWidth="1"/>
    <col min="11523" max="11776" width="9.140625" style="49"/>
    <col min="11777" max="11777" width="12.5703125" style="49" customWidth="1"/>
    <col min="11778" max="11778" width="12.28515625" style="49" bestFit="1" customWidth="1"/>
    <col min="11779" max="12032" width="9.140625" style="49"/>
    <col min="12033" max="12033" width="12.5703125" style="49" customWidth="1"/>
    <col min="12034" max="12034" width="12.28515625" style="49" bestFit="1" customWidth="1"/>
    <col min="12035" max="12288" width="9.140625" style="49"/>
    <col min="12289" max="12289" width="12.5703125" style="49" customWidth="1"/>
    <col min="12290" max="12290" width="12.28515625" style="49" bestFit="1" customWidth="1"/>
    <col min="12291" max="12544" width="9.140625" style="49"/>
    <col min="12545" max="12545" width="12.5703125" style="49" customWidth="1"/>
    <col min="12546" max="12546" width="12.28515625" style="49" bestFit="1" customWidth="1"/>
    <col min="12547" max="12800" width="9.140625" style="49"/>
    <col min="12801" max="12801" width="12.5703125" style="49" customWidth="1"/>
    <col min="12802" max="12802" width="12.28515625" style="49" bestFit="1" customWidth="1"/>
    <col min="12803" max="13056" width="9.140625" style="49"/>
    <col min="13057" max="13057" width="12.5703125" style="49" customWidth="1"/>
    <col min="13058" max="13058" width="12.28515625" style="49" bestFit="1" customWidth="1"/>
    <col min="13059" max="13312" width="9.140625" style="49"/>
    <col min="13313" max="13313" width="12.5703125" style="49" customWidth="1"/>
    <col min="13314" max="13314" width="12.28515625" style="49" bestFit="1" customWidth="1"/>
    <col min="13315" max="13568" width="9.140625" style="49"/>
    <col min="13569" max="13569" width="12.5703125" style="49" customWidth="1"/>
    <col min="13570" max="13570" width="12.28515625" style="49" bestFit="1" customWidth="1"/>
    <col min="13571" max="13824" width="9.140625" style="49"/>
    <col min="13825" max="13825" width="12.5703125" style="49" customWidth="1"/>
    <col min="13826" max="13826" width="12.28515625" style="49" bestFit="1" customWidth="1"/>
    <col min="13827" max="14080" width="9.140625" style="49"/>
    <col min="14081" max="14081" width="12.5703125" style="49" customWidth="1"/>
    <col min="14082" max="14082" width="12.28515625" style="49" bestFit="1" customWidth="1"/>
    <col min="14083" max="14336" width="9.140625" style="49"/>
    <col min="14337" max="14337" width="12.5703125" style="49" customWidth="1"/>
    <col min="14338" max="14338" width="12.28515625" style="49" bestFit="1" customWidth="1"/>
    <col min="14339" max="14592" width="9.140625" style="49"/>
    <col min="14593" max="14593" width="12.5703125" style="49" customWidth="1"/>
    <col min="14594" max="14594" width="12.28515625" style="49" bestFit="1" customWidth="1"/>
    <col min="14595" max="14848" width="9.140625" style="49"/>
    <col min="14849" max="14849" width="12.5703125" style="49" customWidth="1"/>
    <col min="14850" max="14850" width="12.28515625" style="49" bestFit="1" customWidth="1"/>
    <col min="14851" max="15104" width="9.140625" style="49"/>
    <col min="15105" max="15105" width="12.5703125" style="49" customWidth="1"/>
    <col min="15106" max="15106" width="12.28515625" style="49" bestFit="1" customWidth="1"/>
    <col min="15107" max="15360" width="9.140625" style="49"/>
    <col min="15361" max="15361" width="12.5703125" style="49" customWidth="1"/>
    <col min="15362" max="15362" width="12.28515625" style="49" bestFit="1" customWidth="1"/>
    <col min="15363" max="15616" width="9.140625" style="49"/>
    <col min="15617" max="15617" width="12.5703125" style="49" customWidth="1"/>
    <col min="15618" max="15618" width="12.28515625" style="49" bestFit="1" customWidth="1"/>
    <col min="15619" max="15872" width="9.140625" style="49"/>
    <col min="15873" max="15873" width="12.5703125" style="49" customWidth="1"/>
    <col min="15874" max="15874" width="12.28515625" style="49" bestFit="1" customWidth="1"/>
    <col min="15875" max="16128" width="9.140625" style="49"/>
    <col min="16129" max="16129" width="12.570312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43" t="s">
        <v>0</v>
      </c>
      <c r="B1" s="44" t="s">
        <v>75</v>
      </c>
      <c r="C1" s="45" t="s">
        <v>62</v>
      </c>
    </row>
    <row r="2" spans="1:3" x14ac:dyDescent="0.25">
      <c r="A2" s="94" t="s">
        <v>696</v>
      </c>
      <c r="B2" s="94" t="s">
        <v>78</v>
      </c>
      <c r="C2" s="95" t="s">
        <v>701</v>
      </c>
    </row>
    <row r="3" spans="1:3" x14ac:dyDescent="0.25">
      <c r="A3" s="94" t="s">
        <v>649</v>
      </c>
      <c r="B3" s="94" t="s">
        <v>78</v>
      </c>
      <c r="C3" s="95" t="s">
        <v>672</v>
      </c>
    </row>
    <row r="4" spans="1:3" x14ac:dyDescent="0.25">
      <c r="A4" s="94" t="s">
        <v>650</v>
      </c>
      <c r="B4" s="94" t="s">
        <v>78</v>
      </c>
      <c r="C4" s="95" t="s">
        <v>673</v>
      </c>
    </row>
    <row r="5" spans="1:3" x14ac:dyDescent="0.25">
      <c r="A5" s="94" t="s">
        <v>651</v>
      </c>
      <c r="B5" s="94" t="s">
        <v>78</v>
      </c>
      <c r="C5" s="95" t="s">
        <v>674</v>
      </c>
    </row>
    <row r="6" spans="1:3" x14ac:dyDescent="0.25">
      <c r="A6" s="94" t="s">
        <v>652</v>
      </c>
      <c r="B6" s="94" t="s">
        <v>78</v>
      </c>
      <c r="C6" s="95" t="s">
        <v>675</v>
      </c>
    </row>
    <row r="7" spans="1:3" x14ac:dyDescent="0.25">
      <c r="A7" s="94" t="s">
        <v>653</v>
      </c>
      <c r="B7" s="94" t="s">
        <v>78</v>
      </c>
      <c r="C7" s="95" t="s">
        <v>676</v>
      </c>
    </row>
    <row r="8" spans="1:3" x14ac:dyDescent="0.25">
      <c r="A8" s="94" t="s">
        <v>654</v>
      </c>
      <c r="B8" s="94" t="s">
        <v>78</v>
      </c>
      <c r="C8" s="95" t="s">
        <v>677</v>
      </c>
    </row>
    <row r="9" spans="1:3" x14ac:dyDescent="0.25">
      <c r="A9" s="94" t="s">
        <v>655</v>
      </c>
      <c r="B9" s="94" t="s">
        <v>78</v>
      </c>
      <c r="C9" s="95" t="s">
        <v>678</v>
      </c>
    </row>
    <row r="10" spans="1:3" x14ac:dyDescent="0.25">
      <c r="A10" s="94" t="s">
        <v>656</v>
      </c>
      <c r="B10" s="94" t="s">
        <v>78</v>
      </c>
      <c r="C10" s="95" t="s">
        <v>679</v>
      </c>
    </row>
    <row r="11" spans="1:3" x14ac:dyDescent="0.25">
      <c r="A11" s="94" t="s">
        <v>657</v>
      </c>
      <c r="B11" s="94" t="s">
        <v>78</v>
      </c>
      <c r="C11" s="95" t="s">
        <v>680</v>
      </c>
    </row>
    <row r="12" spans="1:3" x14ac:dyDescent="0.25">
      <c r="A12" s="94" t="s">
        <v>658</v>
      </c>
      <c r="B12" s="94" t="s">
        <v>78</v>
      </c>
      <c r="C12" s="95" t="s">
        <v>681</v>
      </c>
    </row>
    <row r="13" spans="1:3" x14ac:dyDescent="0.25">
      <c r="A13" s="94" t="s">
        <v>659</v>
      </c>
      <c r="B13" s="94" t="s">
        <v>78</v>
      </c>
      <c r="C13" s="95" t="s">
        <v>682</v>
      </c>
    </row>
    <row r="14" spans="1:3" x14ac:dyDescent="0.25">
      <c r="A14" s="94" t="s">
        <v>660</v>
      </c>
      <c r="B14" s="94" t="s">
        <v>78</v>
      </c>
      <c r="C14" s="95" t="s">
        <v>683</v>
      </c>
    </row>
    <row r="15" spans="1:3" x14ac:dyDescent="0.25">
      <c r="A15" s="94" t="s">
        <v>661</v>
      </c>
      <c r="B15" s="94" t="s">
        <v>78</v>
      </c>
      <c r="C15" s="95" t="s">
        <v>684</v>
      </c>
    </row>
    <row r="16" spans="1:3" x14ac:dyDescent="0.25">
      <c r="A16" s="94" t="s">
        <v>662</v>
      </c>
      <c r="B16" s="94" t="s">
        <v>78</v>
      </c>
      <c r="C16" s="95" t="s">
        <v>685</v>
      </c>
    </row>
    <row r="17" spans="1:3" x14ac:dyDescent="0.25">
      <c r="A17" s="94" t="s">
        <v>663</v>
      </c>
      <c r="B17" s="94" t="s">
        <v>78</v>
      </c>
      <c r="C17" s="95" t="s">
        <v>686</v>
      </c>
    </row>
    <row r="18" spans="1:3" x14ac:dyDescent="0.25">
      <c r="A18" s="94" t="s">
        <v>664</v>
      </c>
      <c r="B18" s="94" t="s">
        <v>78</v>
      </c>
      <c r="C18" s="95" t="s">
        <v>687</v>
      </c>
    </row>
    <row r="19" spans="1:3" x14ac:dyDescent="0.25">
      <c r="A19" s="94" t="s">
        <v>665</v>
      </c>
      <c r="B19" s="94" t="s">
        <v>78</v>
      </c>
      <c r="C19" s="95" t="s">
        <v>688</v>
      </c>
    </row>
    <row r="20" spans="1:3" x14ac:dyDescent="0.25">
      <c r="A20" s="94" t="s">
        <v>666</v>
      </c>
      <c r="B20" s="94" t="s">
        <v>78</v>
      </c>
      <c r="C20" s="95" t="s">
        <v>689</v>
      </c>
    </row>
    <row r="21" spans="1:3" x14ac:dyDescent="0.25">
      <c r="A21" s="94" t="s">
        <v>667</v>
      </c>
      <c r="B21" s="94" t="s">
        <v>78</v>
      </c>
      <c r="C21" s="95" t="s">
        <v>690</v>
      </c>
    </row>
    <row r="22" spans="1:3" x14ac:dyDescent="0.25">
      <c r="A22" s="94" t="s">
        <v>668</v>
      </c>
      <c r="B22" s="94" t="s">
        <v>78</v>
      </c>
      <c r="C22" s="95" t="s">
        <v>691</v>
      </c>
    </row>
    <row r="23" spans="1:3" x14ac:dyDescent="0.25">
      <c r="A23" s="94" t="s">
        <v>669</v>
      </c>
      <c r="B23" s="94" t="s">
        <v>78</v>
      </c>
      <c r="C23" s="95" t="s">
        <v>692</v>
      </c>
    </row>
    <row r="24" spans="1:3" x14ac:dyDescent="0.25">
      <c r="A24" s="94" t="s">
        <v>670</v>
      </c>
      <c r="B24" s="94" t="s">
        <v>78</v>
      </c>
      <c r="C24" s="95" t="s">
        <v>693</v>
      </c>
    </row>
    <row r="25" spans="1:3" x14ac:dyDescent="0.25">
      <c r="A25" s="94" t="s">
        <v>671</v>
      </c>
      <c r="B25" s="94" t="s">
        <v>78</v>
      </c>
      <c r="C25" s="95" t="s">
        <v>694</v>
      </c>
    </row>
    <row r="26" spans="1:3" x14ac:dyDescent="0.25">
      <c r="A26" s="39" t="s">
        <v>706</v>
      </c>
      <c r="B26" s="94" t="s">
        <v>78</v>
      </c>
      <c r="C26" s="95" t="s">
        <v>707</v>
      </c>
    </row>
    <row r="27" spans="1:3" x14ac:dyDescent="0.25">
      <c r="A27" s="94"/>
      <c r="B27" s="94"/>
      <c r="C27" s="95"/>
    </row>
    <row r="28" spans="1:3" x14ac:dyDescent="0.25">
      <c r="A28" s="94"/>
      <c r="B28" s="94"/>
      <c r="C28" s="95"/>
    </row>
    <row r="29" spans="1:3" x14ac:dyDescent="0.25">
      <c r="A29" s="94"/>
      <c r="B29" s="94"/>
      <c r="C29" s="95"/>
    </row>
    <row r="30" spans="1:3" x14ac:dyDescent="0.25">
      <c r="A30" s="94"/>
      <c r="B30" s="94"/>
      <c r="C30" s="95"/>
    </row>
    <row r="31" spans="1:3" x14ac:dyDescent="0.25">
      <c r="A31" s="94"/>
      <c r="B31" s="94"/>
      <c r="C31" s="95"/>
    </row>
    <row r="32" spans="1:3" x14ac:dyDescent="0.25">
      <c r="A32" s="94"/>
      <c r="B32" s="94"/>
      <c r="C32" s="95"/>
    </row>
    <row r="33" spans="1:3" x14ac:dyDescent="0.25">
      <c r="A33" s="94"/>
      <c r="B33" s="94"/>
      <c r="C33" s="95"/>
    </row>
    <row r="34" spans="1:3" x14ac:dyDescent="0.25">
      <c r="A34" s="94"/>
      <c r="B34" s="94"/>
      <c r="C34" s="95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Dec 15, 2017</vt:lpstr>
      <vt:lpstr>Historical Recap</vt:lpstr>
      <vt:lpstr>Obsoleted</vt:lpstr>
      <vt:lpstr>Superceded</vt:lpstr>
      <vt:lpstr>'Dec 15, 2017'!Print_Area</vt:lpstr>
      <vt:lpstr>'Historical Recap'!Print_Area</vt:lpstr>
      <vt:lpstr>'Dec 15, 2017'!Print_Titles</vt:lpstr>
      <vt:lpstr>'Historical Recap'!Print_Titles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Layne R. Gobrogge</cp:lastModifiedBy>
  <cp:lastPrinted>2015-03-09T12:08:46Z</cp:lastPrinted>
  <dcterms:created xsi:type="dcterms:W3CDTF">2011-05-02T14:58:46Z</dcterms:created>
  <dcterms:modified xsi:type="dcterms:W3CDTF">2017-12-18T12:45:35Z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